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ZLaiv0vzPBYhjinn7nOPB94KyaJJIX2FgqqvBg3ep4dIyTvpVRksdCirYtguLy5K883ArQQ8VWmoVN4c/UzNQ==" workbookSaltValue="v1ILsOGcBl6d+QMvypsi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C11" i="6" s="1"/>
  <c r="I12" i="2"/>
  <c r="C10" i="2"/>
  <c r="D10" i="2" s="1"/>
  <c r="C11" i="2"/>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F10" i="10"/>
  <c r="D11" i="2"/>
  <c r="N11" i="11"/>
  <c r="ES19" i="8"/>
  <c r="C18" i="7"/>
  <c r="S19" i="13"/>
  <c r="AG19" i="19"/>
  <c r="F9" i="11"/>
  <c r="CI19" i="8"/>
  <c r="AE19" i="8"/>
  <c r="F17" i="16"/>
  <c r="BL17" i="16" s="1"/>
  <c r="EP19" i="8"/>
  <c r="ER19" i="13"/>
  <c r="AL13" i="16"/>
  <c r="S13" i="16"/>
  <c r="H18" i="16"/>
  <c r="P13" i="16"/>
  <c r="AN13" i="20"/>
  <c r="F15" i="17"/>
  <c r="Z13" i="17"/>
  <c r="F17" i="17"/>
  <c r="AQ17" i="17" s="1"/>
  <c r="F9" i="2"/>
  <c r="M13" i="2"/>
  <c r="N13" i="2"/>
  <c r="AL11" i="11"/>
  <c r="AO9" i="11"/>
  <c r="E11" i="6"/>
  <c r="AC10" i="11"/>
  <c r="T19" i="8"/>
  <c r="T13" i="12"/>
  <c r="AY18" i="8"/>
  <c r="BF15" i="8"/>
  <c r="AZ18" i="13"/>
  <c r="BD12" i="8"/>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X20" i="20"/>
  <c r="O16" i="11"/>
  <c r="T20" i="20"/>
  <c r="I20" i="20"/>
  <c r="AD20" i="20"/>
  <c r="M20" i="20"/>
  <c r="W20" i="21"/>
  <c r="W20" i="20"/>
  <c r="AI20" i="20"/>
  <c r="AG20" i="20"/>
  <c r="AU20" i="20"/>
  <c r="Y20" i="20"/>
  <c r="O20" i="20"/>
  <c r="AH20" i="20"/>
  <c r="Q20" i="20"/>
  <c r="H20" i="20"/>
  <c r="N20" i="20"/>
  <c r="U12" i="11"/>
  <c r="R20" i="20"/>
  <c r="T20" i="21"/>
  <c r="AX20" i="20"/>
  <c r="Z20" i="20"/>
  <c r="C17" i="6" l="1"/>
  <c r="F16" i="17"/>
  <c r="Y19" i="8"/>
  <c r="S19" i="8"/>
  <c r="AW18" i="21"/>
  <c r="B18" i="2"/>
  <c r="AB19" i="8"/>
  <c r="Z19" i="8"/>
  <c r="H13" i="12"/>
  <c r="AL10" i="11"/>
  <c r="T10" i="21"/>
  <c r="AO16" i="11"/>
  <c r="H12" i="7"/>
  <c r="B12" i="6"/>
  <c r="L12" i="14"/>
  <c r="B17" i="6"/>
  <c r="M18" i="2"/>
  <c r="N18" i="2"/>
  <c r="D11" i="12"/>
  <c r="BG9" i="8"/>
  <c r="K9" i="7" s="1"/>
  <c r="BE9" i="8"/>
  <c r="BD11" i="8"/>
  <c r="BE11" i="8"/>
  <c r="I11" i="12" s="1"/>
  <c r="BG12" i="8"/>
  <c r="BE12" i="8"/>
  <c r="I12" i="7" s="1"/>
  <c r="BD15" i="8"/>
  <c r="H15" i="7" s="1"/>
  <c r="BE15" i="8"/>
  <c r="BG16" i="8"/>
  <c r="C10" i="6"/>
  <c r="I10" i="12" s="1"/>
  <c r="L11" i="14"/>
  <c r="E18" i="2"/>
  <c r="AO17" i="11"/>
  <c r="AL15" i="11"/>
  <c r="L16" i="14"/>
  <c r="F15" i="11"/>
  <c r="BE12" i="13"/>
  <c r="BG16" i="13"/>
  <c r="BD16" i="13"/>
  <c r="BE16" i="13"/>
  <c r="H15" i="2"/>
  <c r="E15" i="6"/>
  <c r="B16" i="6"/>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AU20" i="17"/>
  <c r="U17" i="11"/>
  <c r="O10" i="11"/>
  <c r="BR20" i="16"/>
  <c r="BP20" i="16"/>
  <c r="AL18" i="11" l="1"/>
  <c r="F18" i="2"/>
  <c r="K16" i="12"/>
  <c r="G19" i="7"/>
  <c r="I12" i="12"/>
  <c r="H13" i="2"/>
  <c r="BE13" i="13"/>
  <c r="BG13" i="13"/>
  <c r="Y13" i="11"/>
  <c r="S16" i="17"/>
  <c r="AZ11" i="11"/>
  <c r="AA11" i="16"/>
  <c r="T17" i="11"/>
  <c r="R17" i="14"/>
  <c r="R18" i="14" s="1"/>
  <c r="X15" i="16"/>
  <c r="X18" i="16" s="1"/>
  <c r="L11" i="2"/>
  <c r="V17" i="16"/>
  <c r="X17" i="20"/>
  <c r="AA10" i="16"/>
  <c r="L15" i="2"/>
  <c r="AQ12" i="21"/>
  <c r="Q15" i="17"/>
  <c r="Q18" i="17" s="1"/>
  <c r="Q19" i="17" s="1"/>
  <c r="BF12" i="11"/>
  <c r="T15" i="11"/>
  <c r="BV9" i="16"/>
  <c r="BU9" i="17"/>
  <c r="BV16" i="16"/>
  <c r="T15" i="16"/>
  <c r="BL11" i="11"/>
  <c r="BJ11" i="11"/>
  <c r="BI10" i="11"/>
  <c r="X11" i="17"/>
  <c r="BF17" i="11"/>
  <c r="BH15" i="11"/>
  <c r="AP16" i="20"/>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<sst xmlns="http://schemas.openxmlformats.org/spreadsheetml/2006/main" count="2102" uniqueCount="918">
  <si>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</si>
  <si>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</si>
  <si>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</si>
  <si>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</si>
  <si>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</si>
  <si>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</si>
  <si>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</si>
  <si>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</si>
  <si>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</si>
  <si>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</si>
  <si>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</si>
  <si>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</si>
  <si>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</si>
  <si>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</si>
  <si>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</si>
  <si>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</si>
  <si>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</si>
  <si>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</si>
  <si>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</si>
  <si>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</si>
  <si>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</si>
  <si>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</si>
  <si>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</si>
  <si>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</si>
  <si>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</si>
  <si>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</si>
  <si>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</si>
  <si>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</si>
  <si>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</si>
  <si>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</si>
  <si>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</si>
  <si>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</si>
  <si>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</si>
  <si>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</si>
  <si>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</si>
  <si>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</si>
  <si>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</si>
  <si>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</si>
  <si>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</si>
  <si>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</si>
  <si>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</si>
  <si>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</si>
  <si>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</si>
  <si>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</si>
  <si>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</si>
  <si>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</si>
  <si>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</si>
  <si>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</si>
  <si>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</si>
  <si>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</si>
  <si>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</si>
  <si>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</si>
  <si>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</si>
  <si>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</si>
  <si>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</si>
  <si>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</si>
  <si>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</si>
  <si>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</si>
  <si>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</si>
  <si>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</si>
  <si>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</si>
  <si>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</si>
  <si>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</si>
  <si>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</si>
  <si>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</si>
  <si>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</si>
  <si>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</si>
  <si>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</si>
  <si>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</si>
  <si>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</si>
  <si>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</si>
  <si>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</si>
  <si>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</si>
  <si>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</si>
  <si>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</si>
  <si>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</si>
  <si>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</si>
  <si>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</si>
  <si>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</si>
  <si>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</si>
  <si>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</si>
  <si>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</si>
  <si>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</si>
  <si>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</si>
  <si>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</si>
  <si>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</si>
  <si>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</si>
  <si>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</si>
  <si>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</si>
  <si>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</si>
  <si>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</si>
  <si>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</si>
  <si>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</si>
  <si>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</si>
  <si>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</si>
  <si>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</si>
  <si>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</si>
  <si>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</si>
  <si>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</si>
  <si>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</si>
  <si>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</si>
  <si>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</si>
  <si>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</si>
  <si>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</si>
  <si>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</si>
  <si>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</si>
  <si>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</si>
  <si>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</si>
  <si>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</si>
  <si>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</si>
  <si>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</si>
  <si>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</si>
  <si>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</si>
  <si>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</si>
  <si>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</si>
  <si>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</si>
  <si>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</si>
  <si>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</si>
  <si>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</si>
  <si>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</si>
  <si>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</si>
  <si>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</si>
  <si>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</si>
  <si>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</si>
  <si>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</si>
  <si>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</si>
  <si>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</si>
  <si>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</si>
  <si>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</si>
  <si>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</si>
  <si>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</si>
  <si>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</si>
  <si>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</si>
  <si>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</si>
  <si>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</si>
  <si>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</si>
  <si>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</si>
  <si>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</si>
  <si>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</si>
  <si>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</si>
  <si>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</si>
  <si>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</si>
  <si>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</si>
  <si>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</si>
  <si>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</si>
  <si>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</si>
  <si>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</si>
  <si>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</si>
  <si>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</si>
  <si>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</si>
  <si>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</si>
  <si>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</si>
  <si>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</si>
  <si>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</si>
  <si>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</si>
  <si>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</si>
  <si>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</si>
  <si>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</si>
  <si>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</si>
  <si>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</si>
  <si>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</si>
  <si>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</si>
  <si>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</si>
  <si>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</si>
  <si>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</si>
  <si>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</si>
  <si>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</si>
  <si>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</si>
  <si>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</si>
  <si>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</si>
  <si>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</si>
  <si>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</si>
  <si>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</si>
  <si>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</si>
  <si>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</si>
  <si>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</si>
  <si>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</si>
  <si>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</si>
  <si>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</si>
  <si>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</si>
  <si>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</si>
  <si>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</si>
  <si>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</si>
  <si>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</si>
  <si>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</si>
  <si>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</si>
  <si>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</si>
  <si>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</si>
  <si>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</si>
  <si>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</si>
  <si>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</si>
  <si>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</si>
  <si>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</si>
  <si>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</si>
  <si>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</si>
  <si>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</si>
  <si>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</si>
  <si>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</si>
  <si>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</si>
  <si>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</si>
  <si>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</si>
  <si>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</si>
  <si>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</si>
  <si>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</si>
  <si>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</si>
  <si>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</si>
  <si>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</si>
  <si>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</si>
  <si>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</si>
  <si>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</si>
  <si>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</si>
  <si>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</si>
  <si>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</si>
  <si>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</si>
  <si>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</si>
  <si>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</si>
  <si>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</si>
  <si>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</si>
  <si>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</si>
  <si>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</si>
  <si>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</si>
  <si>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</si>
  <si>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</si>
  <si>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</si>
  <si>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</si>
  <si>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</si>
  <si>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</si>
  <si>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</si>
  <si>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</si>
  <si>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</si>
  <si>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</si>
  <si>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</si>
  <si>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</si>
  <si>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</si>
  <si>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</si>
  <si>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</si>
  <si>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</si>
  <si>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</si>
  <si>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</si>
  <si>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</si>
  <si>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</si>
  <si>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</si>
  <si>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</si>
  <si>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</si>
  <si>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</si>
  <si>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</si>
  <si>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</si>
  <si>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</si>
  <si>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</si>
  <si>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</si>
  <si>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</si>
  <si>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</si>
  <si>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</si>
  <si>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</si>
  <si>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</si>
  <si>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</si>
  <si>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</si>
  <si>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</si>
  <si>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</si>
  <si>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</si>
  <si>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</si>
  <si>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</si>
  <si>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</si>
  <si>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</si>
  <si>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</si>
  <si>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</si>
  <si>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</si>
  <si>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</si>
  <si>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</si>
  <si>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</si>
  <si>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</si>
  <si>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</si>
  <si>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</si>
  <si>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</si>
  <si>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</si>
  <si>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</si>
  <si>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</si>
  <si>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</si>
  <si>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</si>
  <si>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</si>
  <si>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</si>
  <si>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</si>
  <si>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</si>
  <si>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</si>
  <si>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</si>
  <si>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</si>
  <si>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</si>
  <si>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</si>
  <si>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</si>
  <si>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</si>
  <si>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</si>
  <si>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</si>
  <si>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</si>
  <si>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</si>
  <si>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</si>
  <si>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</si>
  <si>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</si>
  <si>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</si>
  <si>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</si>
  <si>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</si>
  <si>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</si>
  <si>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</si>
  <si>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</si>
  <si>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</si>
  <si>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</si>
  <si>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</si>
  <si>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</si>
  <si>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</si>
  <si>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</si>
  <si>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</si>
  <si>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</si>
  <si>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</si>
  <si>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</si>
  <si>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</si>
  <si>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</si>
  <si>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</si>
  <si>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</si>
  <si>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</si>
  <si>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</si>
  <si>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</si>
  <si>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</si>
  <si>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</si>
  <si>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</si>
  <si>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</si>
  <si>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</si>
  <si>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</si>
  <si>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</si>
  <si>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</si>
  <si>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</si>
  <si>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</si>
  <si>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</si>
  <si>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</si>
  <si>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</si>
  <si>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</si>
  <si>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</si>
  <si>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</si>
  <si>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</si>
  <si>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</si>
  <si>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</si>
  <si>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</si>
  <si>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</si>
  <si>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</si>
  <si>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</si>
  <si>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</si>
  <si>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</si>
  <si>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</si>
  <si>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</si>
  <si>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</si>
  <si>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</si>
  <si>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</si>
  <si>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</si>
  <si>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</si>
  <si>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</si>
  <si>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</si>
  <si>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</si>
  <si>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</si>
  <si>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</si>
  <si>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</si>
  <si>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</si>
  <si>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</si>
  <si>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</si>
  <si>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</si>
  <si>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</si>
  <si>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</si>
  <si>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</si>
  <si>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</si>
  <si>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</si>
  <si>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</si>
  <si>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</si>
  <si>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</si>
  <si>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</si>
  <si>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</si>
  <si>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</si>
  <si>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</si>
  <si>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</si>
  <si>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</si>
  <si>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</si>
  <si>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</si>
  <si>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</si>
  <si>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</si>
  <si>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</si>
  <si>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</si>
  <si>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</si>
  <si>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</si>
  <si>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</si>
  <si>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</si>
  <si>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</si>
  <si>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</si>
  <si>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</si>
  <si>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</si>
  <si>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</si>
  <si>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</si>
  <si>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</si>
  <si>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</si>
  <si>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</si>
  <si>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</si>
  <si>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</si>
  <si>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</si>
  <si>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</si>
  <si>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</si>
  <si>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</si>
  <si>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</si>
  <si>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</si>
  <si>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</si>
  <si>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</si>
  <si>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</si>
  <si>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</si>
  <si>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</si>
  <si>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</si>
  <si>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</si>
  <si>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</si>
  <si>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</si>
  <si>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</si>
  <si>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</si>
  <si>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</si>
  <si>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</si>
  <si>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</si>
  <si>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</si>
  <si>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</si>
  <si>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</si>
  <si>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</si>
  <si>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</si>
  <si>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</si>
  <si>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</si>
  <si>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</si>
  <si>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</si>
  <si>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</si>
  <si>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</si>
  <si>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</si>
  <si>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</si>
  <si>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</si>
  <si>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</si>
  <si>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</si>
  <si>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</si>
  <si>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</si>
  <si>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</si>
  <si>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</si>
  <si>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</si>
  <si>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</si>
  <si>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</si>
  <si>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</si>
  <si>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</si>
  <si>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</si>
  <si>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</si>
  <si>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</si>
  <si>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</si>
  <si>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</si>
  <si>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</si>
  <si>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</si>
  <si>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</si>
  <si>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</si>
  <si>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</si>
  <si>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</si>
  <si>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</si>
  <si>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</si>
  <si>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</si>
  <si>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</si>
  <si>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</si>
  <si>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</si>
  <si>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</si>
  <si>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</si>
  <si>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</si>
  <si>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</si>
  <si>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</si>
  <si>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</si>
  <si>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</si>
  <si>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</si>
  <si>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</si>
  <si>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</si>
  <si>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</si>
  <si>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</si>
  <si>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</si>
  <si>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</si>
  <si>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</si>
  <si>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</si>
  <si>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</si>
  <si>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</si>
  <si>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</si>
  <si>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</si>
  <si>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</si>
  <si>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</si>
  <si>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</si>
  <si>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</si>
  <si>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</si>
  <si>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</si>
  <si>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</si>
  <si>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</si>
  <si>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</si>
  <si>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</si>
  <si>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</si>
  <si>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</si>
  <si>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</si>
  <si>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</si>
  <si>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</si>
  <si>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</si>
  <si>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</si>
  <si>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</si>
  <si>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</si>
  <si>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</si>
  <si>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</si>
  <si>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</si>
  <si>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</si>
  <si>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</si>
  <si>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</si>
  <si>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</si>
  <si>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</si>
  <si>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</si>
  <si>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</si>
  <si>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</si>
  <si>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</si>
  <si>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</si>
  <si>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</si>
  <si>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</si>
  <si>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</si>
  <si>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</si>
  <si>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</si>
  <si>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</si>
  <si>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</si>
  <si>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</si>
  <si>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</si>
  <si>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</si>
  <si>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</si>
  <si>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</si>
  <si>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</si>
  <si>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</si>
  <si>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</si>
  <si>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</si>
  <si>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</si>
  <si>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</si>
  <si>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</si>
  <si>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</si>
  <si>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</si>
  <si>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</si>
  <si>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</si>
  <si>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</si>
  <si>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</si>
  <si>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</si>
  <si>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</si>
  <si>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</si>
  <si>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</si>
  <si>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</si>
  <si>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</si>
  <si>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</si>
  <si>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</si>
  <si>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</si>
  <si>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</si>
  <si>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</si>
  <si>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</si>
  <si>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</si>
  <si>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</si>
  <si>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</si>
  <si>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</si>
  <si>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</si>
  <si>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</si>
  <si>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</si>
  <si>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</si>
  <si>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</si>
  <si>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</si>
  <si>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</si>
  <si>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</si>
  <si>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</si>
  <si>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</si>
  <si>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</si>
  <si>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</si>
  <si>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</si>
  <si>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</si>
  <si>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</si>
  <si>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</si>
  <si>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</si>
  <si>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</si>
  <si>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</si>
  <si>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</si>
  <si>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</si>
  <si>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</si>
  <si>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</si>
  <si>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</si>
  <si>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</si>
  <si>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</si>
  <si>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</si>
  <si>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</si>
  <si>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</si>
  <si>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</si>
  <si>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</si>
  <si>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</si>
  <si>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</si>
  <si>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</si>
  <si>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</si>
  <si>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</si>
  <si>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</si>
  <si>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</si>
  <si>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</si>
  <si>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</si>
  <si>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</si>
  <si>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</si>
  <si>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</si>
  <si>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</si>
  <si>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</si>
  <si>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</si>
  <si>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</si>
  <si>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</si>
  <si>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</si>
  <si>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</si>
  <si>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</si>
  <si>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</si>
  <si>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</si>
  <si>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</si>
  <si>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</si>
  <si>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</si>
  <si>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</si>
  <si>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</si>
  <si>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</si>
  <si>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</si>
  <si>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</si>
  <si>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</si>
  <si>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</si>
  <si>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</si>
  <si>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</si>
  <si>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</si>
  <si>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</si>
  <si>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</si>
  <si>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</si>
  <si>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</si>
  <si>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</si>
  <si>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</si>
  <si>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</si>
  <si>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</si>
  <si>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</si>
  <si>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</si>
  <si>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</si>
  <si>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</si>
  <si>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</si>
  <si>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</si>
  <si>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</si>
  <si>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</si>
  <si>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</si>
  <si>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</si>
  <si>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</si>
  <si>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</si>
  <si>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</si>
  <si>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</si>
  <si>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</si>
  <si>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</si>
  <si>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</si>
  <si>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</si>
  <si>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</si>
  <si>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</si>
  <si>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</si>
  <si>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</si>
  <si>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</si>
  <si>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</si>
  <si>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</si>
  <si>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</si>
  <si>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</si>
  <si>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</si>
  <si>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</si>
  <si>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</si>
  <si>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</si>
  <si>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</si>
  <si>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</si>
  <si>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</si>
  <si>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</si>
  <si>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</si>
  <si>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</si>
  <si>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</si>
  <si>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</si>
  <si>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</si>
  <si>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</si>
  <si>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</si>
  <si>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</si>
  <si>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</si>
  <si>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</si>
  <si>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</si>
  <si>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</si>
  <si>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</si>
  <si>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</si>
  <si>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</si>
  <si>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</si>
  <si>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</si>
  <si>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</si>
  <si>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</si>
  <si>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</si>
  <si>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</si>
  <si>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</si>
  <si>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</si>
  <si>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</si>
  <si>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</si>
  <si>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</si>
  <si>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</si>
  <si>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</si>
  <si>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</si>
  <si>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</si>
  <si>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</si>
  <si>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</si>
  <si>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</si>
  <si>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</si>
  <si>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</si>
  <si>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</si>
  <si>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</si>
  <si>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</si>
  <si>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</si>
  <si>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</si>
  <si>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</si>
  <si>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</si>
  <si>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</si>
  <si>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</si>
  <si>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</si>
  <si>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</si>
  <si>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</si>
  <si>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</si>
  <si>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</si>
  <si>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</si>
  <si>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</si>
  <si>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</si>
  <si>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</si>
  <si>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</si>
  <si>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</si>
  <si>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</si>
  <si>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</si>
  <si>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</si>
  <si>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</si>
  <si>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</si>
  <si>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</si>
  <si>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</si>
  <si>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</si>
  <si>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</si>
  <si>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</si>
  <si>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</si>
  <si>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</si>
  <si>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</si>
  <si>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</si>
  <si>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</si>
  <si>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</si>
  <si>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</si>
  <si>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</si>
  <si>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</si>
  <si>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</si>
  <si>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</si>
  <si>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</si>
  <si>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</si>
  <si>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</si>
  <si>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</si>
  <si>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</si>
  <si>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</si>
  <si>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</si>
  <si>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</si>
  <si>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</si>
  <si>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</si>
  <si>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</si>
  <si>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</si>
  <si>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</si>
  <si>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</si>
  <si>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</si>
  <si>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</si>
  <si>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</si>
  <si>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</si>
  <si>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</si>
  <si>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</si>
  <si>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</si>
  <si>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</si>
  <si>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</si>
  <si>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</si>
  <si>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</si>
  <si>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</si>
  <si>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</si>
  <si>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</si>
  <si>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</si>
  <si>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</si>
  <si>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</si>
  <si>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</si>
  <si>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</si>
  <si>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</si>
  <si>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</si>
  <si>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</si>
  <si>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</si>
  <si>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</si>
  <si>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</si>
  <si>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</si>
  <si>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</si>
  <si>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</si>
  <si>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</si>
  <si>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</si>
  <si>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</si>
  <si>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</si>
  <si>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</si>
  <si>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</si>
  <si>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</si>
  <si>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</si>
  <si>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</si>
  <si>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</si>
  <si>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</si>
  <si>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</si>
  <si>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</si>
  <si>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</si>
  <si>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</si>
  <si>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</si>
  <si>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</si>
  <si>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</si>
  <si>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</si>
  <si>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</si>
  <si>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</si>
  <si>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</si>
  <si>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</si>
  <si>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</si>
  <si>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</si>
  <si>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</si>
  <si>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</si>
  <si>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</si>
  <si>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</si>
  <si>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</si>
  <si>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</si>
  <si>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</si>
  <si>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</si>
  <si>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</si>
  <si>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</si>
  <si>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</si>
  <si>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</si>
  <si>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</si>
  <si>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</si>
  <si>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</si>
  <si>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</si>
  <si>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</si>
  <si>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</si>
  <si>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</si>
  <si>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</si>
  <si>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</si>
  <si>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</si>
  <si>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</si>
  <si>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</si>
  <si>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</si>
  <si>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</si>
  <si>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</si>
  <si>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</si>
  <si>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</si>
  <si>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</si>
  <si>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</si>
  <si>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</si>
  <si>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</si>
  <si>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</si>
  <si>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</si>
  <si>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</si>
  <si>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</si>
  <si>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</si>
  <si>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</si>
  <si>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</si>
  <si>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</si>
  <si>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</si>
  <si>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</si>
  <si>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</si>
  <si>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</si>
  <si>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</si>
  <si>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</si>
  <si>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</si>
  <si>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</si>
  <si>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</si>
  <si>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</si>
  <si>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</si>
  <si>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</si>
  <si>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</si>
  <si>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</si>
  <si>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</si>
  <si>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</si>
  <si>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</si>
  <si>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</si>
  <si>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</si>
  <si>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</si>
  <si>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</si>
  <si>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</si>
  <si>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</si>
  <si>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</si>
  <si>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</si>
  <si>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</si>
  <si>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</si>
  <si>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</si>
  <si>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</si>
  <si>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</si>
  <si>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</si>
  <si>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</si>
  <si>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</si>
  <si>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</si>
  <si>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</si>
  <si>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</si>
  <si>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</si>
  <si>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</si>
  <si>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</si>
  <si>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</si>
  <si>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</si>
  <si>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</si>
  <si>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</si>
  <si>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</si>
  <si>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</si>
  <si>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</si>
  <si>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</si>
  <si>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</si>
  <si>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</si>
  <si>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</si>
  <si>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</si>
  <si>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</si>
  <si>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</si>
  <si>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</si>
  <si>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</si>
  <si>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</si>
  <si>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</si>
  <si>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</si>
  <si>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</si>
  <si>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</si>
  <si>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</si>
  <si>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</si>
  <si>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</si>
  <si>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</si>
  <si>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</si>
  <si>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</si>
  <si>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</si>
  <si>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</si>
  <si>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</si>
  <si>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</si>
  <si>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VALENCIA</t>
  </si>
  <si>
    <t>Resumenes por Partidos Judiciales</t>
  </si>
  <si>
    <t>XATIVA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</si>
</sst>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CO/pi/Nmc++grCDZuGzjG0ucfMBQII/BquTlMDLEPLx6w3zXxJ9aO08mMwNGUP7Vbr9He81CRaDElhNNhAIltg==" saltValue="WJTRTu//A4i3qXQRWt1z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0</v>
      </c>
      <c r="F10" s="225">
        <f>IF(ISNUMBER(Datos!K10),Datos!K10," - ")</f>
        <v>0</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25.40625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1797</v>
      </c>
      <c r="D16" s="224">
        <f>IF(ISNUMBER(IF(D_I="SI",Datos!I16,Datos!I16+Datos!AC16)),IF(D_I="SI",Datos!I16,Datos!I16+Datos!AC16)," - ")</f>
        <v>1797</v>
      </c>
      <c r="E16" s="225">
        <f>IF(ISNUMBER(IF(D_I="SI",Datos!J16,Datos!J16+Datos!AD16)),IF(D_I="SI",Datos!J16,Datos!J16+Datos!AD16)," - ")</f>
        <v>1215</v>
      </c>
      <c r="F16" s="225">
        <f>IF(ISNUMBER(IF(D_I="SI",Datos!K16,Datos!K16+Datos!AE16)),IF(D_I="SI",Datos!K16,Datos!K16+Datos!AE16)," - ")</f>
        <v>868</v>
      </c>
      <c r="G16" s="1033" t="str">
        <f>IF(Datos!E16&lt;&gt;"",Datos!E16,Datos!D16)</f>
        <v>04</v>
      </c>
      <c r="H16" s="226">
        <f>IF(ISNUMBER(IF(D_I="SI",Datos!L16,Datos!L16+Datos!AF16)),IF(D_I="SI",Datos!L16,Datos!L16+Datos!AF16)," - ")</f>
        <v>2144</v>
      </c>
      <c r="I16" s="1043" t="str">
        <f>IF(ISNUMBER(Datos!AS16/Datos!BM16),Datos!AS16/Datos!BM16," - ")</f>
        <v xml:space="preserve"> - </v>
      </c>
      <c r="J16" s="1044">
        <f>IF(ISNUMBER(Datos!BY16/Datos!CN16),Datos!BY16/Datos!CN16," - ")</f>
        <v>0</v>
      </c>
      <c r="K16" s="229">
        <f t="shared" si="3"/>
        <v>0.1930996104618809</v>
      </c>
      <c r="L16" s="1024">
        <f>IF(ISNUMBER(NºAsuntos!I16/NºAsuntos!G16),(NºAsuntos!I16/NºAsuntos!G16)*11," - ")</f>
        <v>27.170506912442395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0</v>
      </c>
      <c r="F17" s="225">
        <f>IF(ISNUMBER(IF(D_I="SI",Datos!K17,Datos!K17+Datos!AE17)),IF(D_I="SI",Datos!K17,Datos!K17+Datos!AE17)," - ")</f>
        <v>2</v>
      </c>
      <c r="G17" s="1033" t="str">
        <f>IF(Datos!E17&lt;&gt;"",Datos!E17,Datos!D17)</f>
        <v>37</v>
      </c>
      <c r="H17" s="226">
        <f>IF(ISNUMBER(IF(D_I="SI",Datos!L17,Datos!L17+Datos!AF17)),IF(D_I="SI",Datos!L17,Datos!L17+Datos!AF17)," - ")</f>
        <v>9</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49.5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1808</v>
      </c>
      <c r="D18" s="1048">
        <f>SUBTOTAL(9,D15:D17)</f>
        <v>1808</v>
      </c>
      <c r="E18" s="1049">
        <f>SUBTOTAL(9,E15:E17)</f>
        <v>1215</v>
      </c>
      <c r="F18" s="1049">
        <f>SUBTOTAL(9,F15:F17)</f>
        <v>870</v>
      </c>
      <c r="G18" s="1051" t="str">
        <f ca="1">INDIRECT(CONCATENATE("G",ROW()-1))</f>
        <v>37</v>
      </c>
      <c r="H18" s="1052">
        <f ca="1">SUMIF(G$14:G17,G18,H$14:H17)</f>
        <v>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1820</v>
      </c>
      <c r="D19" s="1070">
        <f>SUBTOTAL(9,D9:D18)</f>
        <v>1820</v>
      </c>
      <c r="E19" s="1071">
        <f>SUBTOTAL(9,E9:E18)</f>
        <v>1215</v>
      </c>
      <c r="F19" s="1071">
        <f>SUBTOTAL(9,F9:F18)</f>
        <v>870</v>
      </c>
      <c r="G19" s="1072"/>
      <c r="H19" s="1073">
        <f ca="1">SUMIF(B9:B18,"TOTAL",H9:H18)</f>
        <v>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gk+e0rUgO6mhh5LPaf/+E7a4Mh2+FW/TI6W7usq5yEpwyCO2YeJ0ll23cUgl+iyAOnd93ZJZ5e6YfZA6OIDgw==" saltValue="ho92B7cN5bMyTn0Bdp4Z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zBsciE+7zlGHO5yROKEDZ+qPy4GapX6IOnfZopBW2Byuh1TAzM13cc8wLpeU7a8rfxCpW/QdmGf6A4qowoIsg==" saltValue="umVZpK3aJb1y81tagpf3a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0</v>
      </c>
      <c r="K10" s="180">
        <v>0</v>
      </c>
      <c r="L10" s="180">
        <v>12</v>
      </c>
      <c r="M10" s="180">
        <v>0</v>
      </c>
      <c r="N10" s="180">
        <v>0</v>
      </c>
      <c r="O10" s="180">
        <v>0</v>
      </c>
      <c r="P10" s="180">
        <v>1</v>
      </c>
      <c r="Q10" s="180">
        <v>0</v>
      </c>
      <c r="R10" s="180">
        <v>21</v>
      </c>
      <c r="S10" s="180">
        <v>11</v>
      </c>
      <c r="T10" s="180">
        <v>4</v>
      </c>
      <c r="U10" s="180">
        <v>2</v>
      </c>
      <c r="V10" s="180">
        <v>13</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11</v>
      </c>
      <c r="AZ10" s="129">
        <f t="shared" si="0"/>
        <v>4</v>
      </c>
      <c r="BA10" s="129">
        <f t="shared" si="0"/>
        <v>2</v>
      </c>
      <c r="BB10" s="129">
        <f t="shared" si="0"/>
        <v>13</v>
      </c>
      <c r="BC10" s="125">
        <f t="shared" si="0"/>
        <v>2</v>
      </c>
      <c r="BD10" s="126">
        <f>IF(ISNUMBER(BA10/AZ10),BA10/AZ10," - ")</f>
        <v>0.5</v>
      </c>
      <c r="BE10" s="127">
        <f>IF(ISNUMBER(BB10/BA10),BB10/BA10, " - ")</f>
        <v>6.5</v>
      </c>
      <c r="BF10" s="127">
        <f>IF(ISNUMBER(BC10/BA10),BC10/BA10, " - ")</f>
        <v>1</v>
      </c>
      <c r="BG10" s="195">
        <f>IF(ISNUMBER((AY10+AZ10)/BA10),(AY10+AZ10)/BA10," - ")</f>
        <v>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2401</v>
      </c>
      <c r="J12" s="182">
        <v>712</v>
      </c>
      <c r="K12" s="182">
        <v>892</v>
      </c>
      <c r="L12" s="182">
        <v>2223</v>
      </c>
      <c r="M12" s="182">
        <v>348</v>
      </c>
      <c r="N12" s="182">
        <v>366</v>
      </c>
      <c r="O12" s="180">
        <v>358</v>
      </c>
      <c r="P12" s="182">
        <v>304</v>
      </c>
      <c r="Q12" s="182">
        <v>128</v>
      </c>
      <c r="R12" s="182">
        <v>4466</v>
      </c>
      <c r="S12" s="182">
        <v>1973</v>
      </c>
      <c r="T12" s="182">
        <v>947</v>
      </c>
      <c r="U12" s="182">
        <v>737</v>
      </c>
      <c r="V12" s="182">
        <v>2183</v>
      </c>
      <c r="W12" s="182">
        <v>177</v>
      </c>
      <c r="X12" s="188">
        <v>323</v>
      </c>
      <c r="Y12" s="190">
        <v>224</v>
      </c>
      <c r="Z12" s="180">
        <v>156</v>
      </c>
      <c r="AA12" s="180">
        <v>164</v>
      </c>
      <c r="AB12" s="180">
        <v>216</v>
      </c>
      <c r="AC12" s="182">
        <v>0</v>
      </c>
      <c r="AD12" s="182">
        <v>0</v>
      </c>
      <c r="AE12" s="182">
        <v>0</v>
      </c>
      <c r="AF12" s="188">
        <v>0</v>
      </c>
      <c r="AG12" s="201">
        <v>145</v>
      </c>
      <c r="AH12" s="182">
        <v>138</v>
      </c>
      <c r="AI12" s="182">
        <v>76</v>
      </c>
      <c r="AJ12" s="202">
        <v>207</v>
      </c>
      <c r="AK12" s="181">
        <v>0</v>
      </c>
      <c r="AL12" s="182">
        <v>0</v>
      </c>
      <c r="AM12" s="182">
        <v>0</v>
      </c>
      <c r="AN12" s="188">
        <v>0</v>
      </c>
      <c r="AO12" s="258">
        <v>4</v>
      </c>
      <c r="AP12" s="154">
        <v>4</v>
      </c>
      <c r="AQ12" s="154">
        <v>4</v>
      </c>
      <c r="AR12" s="153">
        <v>4</v>
      </c>
      <c r="AS12" s="339" t="s">
        <v>794</v>
      </c>
      <c r="AT12" s="202"/>
      <c r="AU12" s="201"/>
      <c r="AV12" s="202"/>
      <c r="AW12" s="201"/>
      <c r="AX12" s="202"/>
      <c r="AY12" s="126">
        <f t="shared" si="1"/>
        <v>2118</v>
      </c>
      <c r="AZ12" s="127">
        <f t="shared" si="1"/>
        <v>1085</v>
      </c>
      <c r="BA12" s="127">
        <f t="shared" si="1"/>
        <v>813</v>
      </c>
      <c r="BB12" s="127">
        <f t="shared" si="1"/>
        <v>2390</v>
      </c>
      <c r="BC12" s="125">
        <f>IF(ISNUMBER(X12),X12," - ")</f>
        <v>323</v>
      </c>
      <c r="BD12" s="126">
        <f t="shared" si="2"/>
        <v>0.74930875576036871</v>
      </c>
      <c r="BE12" s="127">
        <f t="shared" si="3"/>
        <v>2.9397293972939731</v>
      </c>
      <c r="BF12" s="127">
        <f t="shared" si="4"/>
        <v>0.3972939729397294</v>
      </c>
      <c r="BG12" s="195">
        <f t="shared" si="5"/>
        <v>3.9397293972939731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2413</v>
      </c>
      <c r="J13" s="183">
        <f t="shared" si="6"/>
        <v>712</v>
      </c>
      <c r="K13" s="183">
        <f t="shared" si="6"/>
        <v>892</v>
      </c>
      <c r="L13" s="183">
        <f t="shared" si="6"/>
        <v>2235</v>
      </c>
      <c r="M13" s="183">
        <f t="shared" si="6"/>
        <v>348</v>
      </c>
      <c r="N13" s="183">
        <f t="shared" si="6"/>
        <v>366</v>
      </c>
      <c r="O13" s="183">
        <f t="shared" si="6"/>
        <v>358</v>
      </c>
      <c r="P13" s="183">
        <f t="shared" si="6"/>
        <v>305</v>
      </c>
      <c r="Q13" s="183">
        <f t="shared" si="6"/>
        <v>128</v>
      </c>
      <c r="R13" s="183">
        <f t="shared" si="6"/>
        <v>4487</v>
      </c>
      <c r="S13" s="183">
        <f t="shared" si="6"/>
        <v>1984</v>
      </c>
      <c r="T13" s="183">
        <f t="shared" si="6"/>
        <v>951</v>
      </c>
      <c r="U13" s="183">
        <f t="shared" si="6"/>
        <v>739</v>
      </c>
      <c r="V13" s="183">
        <f t="shared" si="6"/>
        <v>2196</v>
      </c>
      <c r="W13" s="183">
        <f t="shared" si="6"/>
        <v>179</v>
      </c>
      <c r="X13" s="183">
        <f t="shared" si="6"/>
        <v>323</v>
      </c>
      <c r="Y13" s="183">
        <f t="shared" si="6"/>
        <v>224</v>
      </c>
      <c r="Z13" s="183">
        <f t="shared" si="6"/>
        <v>156</v>
      </c>
      <c r="AA13" s="183">
        <f t="shared" si="6"/>
        <v>164</v>
      </c>
      <c r="AB13" s="183">
        <f t="shared" si="6"/>
        <v>216</v>
      </c>
      <c r="AC13" s="183">
        <f t="shared" si="6"/>
        <v>0</v>
      </c>
      <c r="AD13" s="183">
        <f t="shared" si="6"/>
        <v>0</v>
      </c>
      <c r="AE13" s="183">
        <f t="shared" si="6"/>
        <v>0</v>
      </c>
      <c r="AF13" s="183">
        <f>SUBTOTAL(9,AF9:AF12)</f>
        <v>0</v>
      </c>
      <c r="AG13" s="183">
        <f t="shared" ref="AG13:AT13" si="7">SUBTOTAL(9,AG8:AG12)</f>
        <v>145</v>
      </c>
      <c r="AH13" s="183">
        <f t="shared" si="7"/>
        <v>138</v>
      </c>
      <c r="AI13" s="183">
        <f t="shared" si="7"/>
        <v>76</v>
      </c>
      <c r="AJ13" s="183">
        <f t="shared" si="7"/>
        <v>207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2129</v>
      </c>
      <c r="AZ13" s="183">
        <f>SUBTOTAL(9,AZ8:AZ12)</f>
        <v>1089</v>
      </c>
      <c r="BA13" s="183">
        <f>SUBTOTAL(9,BA8:BA12)</f>
        <v>815</v>
      </c>
      <c r="BB13" s="183">
        <f>SUBTOTAL(9,BB8:BB12)</f>
        <v>2403</v>
      </c>
      <c r="BC13" s="183">
        <f>SUBTOTAL(9,BC8:BC12)</f>
        <v>325</v>
      </c>
      <c r="BD13" s="204">
        <f>IF(ISNUMBER(BA13/AZ13),BA13/AZ13," - ")</f>
        <v>0.74839302112029382</v>
      </c>
      <c r="BE13" s="205">
        <f>IF(ISNUMBER(BB13/BA13),BB13/BA13, " - ")</f>
        <v>2.9484662576687115</v>
      </c>
      <c r="BF13" s="205">
        <f>IF(ISNUMBER(BC13/BA13),BC13/BA13, " - ")</f>
        <v>0.3987730061349693</v>
      </c>
      <c r="BG13" s="206">
        <f>IF(ISNUMBER((AY13+AZ13)/BA13),(AY13+AZ13)/BA13," - ")</f>
        <v>3.9484662576687115</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1797</v>
      </c>
      <c r="J16" s="182">
        <v>1215</v>
      </c>
      <c r="K16" s="182">
        <v>868</v>
      </c>
      <c r="L16" s="182">
        <v>2144</v>
      </c>
      <c r="M16" s="182">
        <v>123</v>
      </c>
      <c r="N16" s="182">
        <v>522</v>
      </c>
      <c r="O16" s="180">
        <v>5</v>
      </c>
      <c r="P16" s="182">
        <v>41</v>
      </c>
      <c r="Q16" s="182">
        <v>38</v>
      </c>
      <c r="R16" s="182">
        <v>189</v>
      </c>
      <c r="S16" s="182">
        <v>1633</v>
      </c>
      <c r="T16" s="182">
        <v>904</v>
      </c>
      <c r="U16" s="182">
        <v>917</v>
      </c>
      <c r="V16" s="182">
        <v>1620</v>
      </c>
      <c r="W16" s="182">
        <v>174</v>
      </c>
      <c r="X16" s="188">
        <v>524</v>
      </c>
      <c r="Y16" s="201">
        <v>0</v>
      </c>
      <c r="Z16" s="182">
        <v>0</v>
      </c>
      <c r="AA16" s="182">
        <v>0</v>
      </c>
      <c r="AB16" s="182">
        <v>0</v>
      </c>
      <c r="AC16" s="182">
        <v>6</v>
      </c>
      <c r="AD16" s="182">
        <v>10</v>
      </c>
      <c r="AE16" s="182">
        <v>8</v>
      </c>
      <c r="AF16" s="188">
        <v>8</v>
      </c>
      <c r="AG16" s="201">
        <v>0</v>
      </c>
      <c r="AH16" s="182">
        <v>0</v>
      </c>
      <c r="AI16" s="182">
        <v>0</v>
      </c>
      <c r="AJ16" s="202">
        <v>0</v>
      </c>
      <c r="AK16" s="181">
        <v>5</v>
      </c>
      <c r="AL16" s="182">
        <v>12</v>
      </c>
      <c r="AM16" s="182">
        <v>11</v>
      </c>
      <c r="AN16" s="188">
        <v>6</v>
      </c>
      <c r="AO16" s="258">
        <v>4</v>
      </c>
      <c r="AP16" s="154">
        <v>4</v>
      </c>
      <c r="AQ16" s="154">
        <v>4</v>
      </c>
      <c r="AR16" s="154">
        <v>4</v>
      </c>
      <c r="AS16" s="339" t="s">
        <v>487</v>
      </c>
      <c r="AT16" s="202"/>
      <c r="AU16" s="201"/>
      <c r="AV16" s="202"/>
      <c r="AW16" s="201"/>
      <c r="AX16" s="202"/>
      <c r="AY16" s="126">
        <f t="shared" si="9"/>
        <v>1633</v>
      </c>
      <c r="AZ16" s="127">
        <f t="shared" si="9"/>
        <v>904</v>
      </c>
      <c r="BA16" s="127">
        <f t="shared" si="9"/>
        <v>917</v>
      </c>
      <c r="BB16" s="127">
        <f t="shared" si="9"/>
        <v>1620</v>
      </c>
      <c r="BC16" s="125">
        <f>IF(ISNUMBER(W16),W16," - ")</f>
        <v>174</v>
      </c>
      <c r="BD16" s="126">
        <f t="shared" ref="BD16" si="11">IF(ISNUMBER(BA16/AZ16),BA16/AZ16," - ")</f>
        <v>1.0143805309734513</v>
      </c>
      <c r="BE16" s="127">
        <f t="shared" ref="BE16" si="12">IF(ISNUMBER(BB16/BA16),BB16/BA16, " - ")</f>
        <v>1.7666303162486368</v>
      </c>
      <c r="BF16" s="127">
        <f t="shared" ref="BF16" si="13">IF(ISNUMBER(BC16/BA16),BC16/BA16, " - ")</f>
        <v>0.18974918211559433</v>
      </c>
      <c r="BG16" s="195">
        <f t="shared" si="10"/>
        <v>2.7666303162486368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0</v>
      </c>
      <c r="K17" s="182">
        <v>2</v>
      </c>
      <c r="L17" s="182">
        <v>9</v>
      </c>
      <c r="M17" s="182">
        <v>2</v>
      </c>
      <c r="N17" s="182">
        <v>0</v>
      </c>
      <c r="O17" s="182">
        <v>0</v>
      </c>
      <c r="P17" s="182">
        <v>0</v>
      </c>
      <c r="Q17" s="182">
        <v>0</v>
      </c>
      <c r="R17" s="182">
        <v>2</v>
      </c>
      <c r="S17" s="182">
        <v>23</v>
      </c>
      <c r="T17" s="182">
        <v>6</v>
      </c>
      <c r="U17" s="182">
        <v>11</v>
      </c>
      <c r="V17" s="182">
        <v>18</v>
      </c>
      <c r="W17" s="182">
        <v>0</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v>
      </c>
      <c r="AZ17" s="129">
        <f t="shared" si="14"/>
        <v>6</v>
      </c>
      <c r="BA17" s="129">
        <f t="shared" si="14"/>
        <v>11</v>
      </c>
      <c r="BB17" s="129">
        <f t="shared" si="14"/>
        <v>18</v>
      </c>
      <c r="BC17" s="125">
        <f>IF(ISNUMBER(W17),W17," - ")</f>
        <v>0</v>
      </c>
      <c r="BD17" s="126">
        <f>IF(ISNUMBER(BA17/AZ17),BA17/AZ17," - ")</f>
        <v>1.8333333333333333</v>
      </c>
      <c r="BE17" s="127">
        <f>IF(ISNUMBER(BB17/BA17),BB17/BA17, " - ")</f>
        <v>1.6363636363636365</v>
      </c>
      <c r="BF17" s="127">
        <f>IF(ISNUMBER(BC17/BA17),BC17/BA17, " - ")</f>
        <v>0</v>
      </c>
      <c r="BG17" s="195">
        <f>IF(ISNUMBER((AY17+AZ17)/BA17),(AY17+AZ17)/BA17," - ")</f>
        <v>2.6363636363636362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1808</v>
      </c>
      <c r="J18" s="183">
        <f t="shared" si="15"/>
        <v>1215</v>
      </c>
      <c r="K18" s="183">
        <f t="shared" si="15"/>
        <v>870</v>
      </c>
      <c r="L18" s="183">
        <f t="shared" si="15"/>
        <v>2153</v>
      </c>
      <c r="M18" s="183">
        <f t="shared" si="15"/>
        <v>125</v>
      </c>
      <c r="N18" s="183">
        <f t="shared" si="15"/>
        <v>522</v>
      </c>
      <c r="O18" s="183">
        <f t="shared" si="15"/>
        <v>5</v>
      </c>
      <c r="P18" s="183">
        <f t="shared" si="15"/>
        <v>41</v>
      </c>
      <c r="Q18" s="183">
        <f t="shared" si="15"/>
        <v>38</v>
      </c>
      <c r="R18" s="183">
        <f t="shared" si="15"/>
        <v>191</v>
      </c>
      <c r="S18" s="183">
        <f t="shared" si="15"/>
        <v>1656</v>
      </c>
      <c r="T18" s="183">
        <f t="shared" si="15"/>
        <v>910</v>
      </c>
      <c r="U18" s="183">
        <f t="shared" si="15"/>
        <v>928</v>
      </c>
      <c r="V18" s="183">
        <f t="shared" si="15"/>
        <v>1638</v>
      </c>
      <c r="W18" s="183">
        <f t="shared" si="15"/>
        <v>174</v>
      </c>
      <c r="X18" s="183">
        <f t="shared" si="15"/>
        <v>531</v>
      </c>
      <c r="Y18" s="183">
        <f t="shared" si="15"/>
        <v>0</v>
      </c>
      <c r="Z18" s="183">
        <f t="shared" si="15"/>
        <v>0</v>
      </c>
      <c r="AA18" s="183">
        <f t="shared" si="15"/>
        <v>0</v>
      </c>
      <c r="AB18" s="183">
        <f t="shared" si="15"/>
        <v>0</v>
      </c>
      <c r="AC18" s="183">
        <f t="shared" si="15"/>
        <v>6</v>
      </c>
      <c r="AD18" s="183">
        <f t="shared" si="15"/>
        <v>10</v>
      </c>
      <c r="AE18" s="183">
        <f t="shared" si="15"/>
        <v>8</v>
      </c>
      <c r="AF18" s="183">
        <f t="shared" si="15"/>
        <v>8</v>
      </c>
      <c r="AG18" s="183">
        <f t="shared" si="15"/>
        <v>0</v>
      </c>
      <c r="AH18" s="183">
        <f t="shared" si="15"/>
        <v>0</v>
      </c>
      <c r="AI18" s="183">
        <f t="shared" si="15"/>
        <v>0</v>
      </c>
      <c r="AJ18" s="183">
        <f t="shared" si="15"/>
        <v>0</v>
      </c>
      <c r="AK18" s="183">
        <f t="shared" si="15"/>
        <v>5</v>
      </c>
      <c r="AL18" s="183">
        <f t="shared" si="15"/>
        <v>12</v>
      </c>
      <c r="AM18" s="183">
        <f t="shared" si="15"/>
        <v>11</v>
      </c>
      <c r="AN18" s="183">
        <f t="shared" si="15"/>
        <v>6</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1656</v>
      </c>
      <c r="AZ18" s="183">
        <f>SUBTOTAL(9,AZ14:AZ17)</f>
        <v>910</v>
      </c>
      <c r="BA18" s="183">
        <f>SUBTOTAL(9,BA14:BA17)</f>
        <v>928</v>
      </c>
      <c r="BB18" s="183">
        <f>SUBTOTAL(9,BB14:BB17)</f>
        <v>1638</v>
      </c>
      <c r="BC18" s="183">
        <f>SUBTOTAL(9,BC14:BC17)</f>
        <v>174</v>
      </c>
      <c r="BD18" s="204">
        <f>IF(ISNUMBER(BA18/AZ18),BA18/AZ18," - ")</f>
        <v>1.0197802197802197</v>
      </c>
      <c r="BE18" s="205">
        <f>IF(ISNUMBER(BB18/BA18),BB18/BA18, " - ")</f>
        <v>1.7650862068965518</v>
      </c>
      <c r="BF18" s="205">
        <f>IF(ISNUMBER(BC18/BA18),BC18/BA18, " - ")</f>
        <v>0.1875</v>
      </c>
      <c r="BG18" s="206">
        <f>IF(ISNUMBER((AY18+AZ18)/BA18),(AY18+AZ18)/BA18," - ")</f>
        <v>2.7650862068965516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4221</v>
      </c>
      <c r="J19" s="134">
        <f t="shared" si="18"/>
        <v>1927</v>
      </c>
      <c r="K19" s="134">
        <f t="shared" si="18"/>
        <v>1762</v>
      </c>
      <c r="L19" s="134">
        <f t="shared" si="18"/>
        <v>4388</v>
      </c>
      <c r="M19" s="134">
        <f t="shared" si="18"/>
        <v>473</v>
      </c>
      <c r="N19" s="134">
        <f t="shared" si="18"/>
        <v>888</v>
      </c>
      <c r="O19" s="134">
        <f t="shared" si="18"/>
        <v>363</v>
      </c>
      <c r="P19" s="134">
        <f t="shared" si="18"/>
        <v>346</v>
      </c>
      <c r="Q19" s="134">
        <f t="shared" si="18"/>
        <v>166</v>
      </c>
      <c r="R19" s="134">
        <f t="shared" si="18"/>
        <v>4678</v>
      </c>
      <c r="S19" s="134">
        <f t="shared" si="18"/>
        <v>3640</v>
      </c>
      <c r="T19" s="134">
        <f t="shared" si="18"/>
        <v>1861</v>
      </c>
      <c r="U19" s="134">
        <f t="shared" si="18"/>
        <v>1667</v>
      </c>
      <c r="V19" s="134">
        <f t="shared" si="18"/>
        <v>3834</v>
      </c>
      <c r="W19" s="134">
        <f t="shared" si="18"/>
        <v>353</v>
      </c>
      <c r="X19" s="134">
        <f t="shared" si="18"/>
        <v>854</v>
      </c>
      <c r="Y19" s="134">
        <f t="shared" si="18"/>
        <v>224</v>
      </c>
      <c r="Z19" s="134">
        <f t="shared" si="18"/>
        <v>156</v>
      </c>
      <c r="AA19" s="134">
        <f t="shared" si="18"/>
        <v>164</v>
      </c>
      <c r="AB19" s="134">
        <f t="shared" si="18"/>
        <v>216</v>
      </c>
      <c r="AC19" s="134">
        <f t="shared" si="18"/>
        <v>6</v>
      </c>
      <c r="AD19" s="134">
        <f t="shared" si="18"/>
        <v>10</v>
      </c>
      <c r="AE19" s="134">
        <f t="shared" si="18"/>
        <v>8</v>
      </c>
      <c r="AF19" s="134">
        <f t="shared" si="18"/>
        <v>8</v>
      </c>
      <c r="AG19" s="134">
        <f t="shared" si="18"/>
        <v>145</v>
      </c>
      <c r="AH19" s="134">
        <f t="shared" si="18"/>
        <v>138</v>
      </c>
      <c r="AI19" s="134">
        <f t="shared" si="18"/>
        <v>76</v>
      </c>
      <c r="AJ19" s="134">
        <f t="shared" si="18"/>
        <v>207</v>
      </c>
      <c r="AK19" s="134">
        <f t="shared" si="18"/>
        <v>5</v>
      </c>
      <c r="AL19" s="134">
        <f t="shared" si="18"/>
        <v>12</v>
      </c>
      <c r="AM19" s="134">
        <f t="shared" si="18"/>
        <v>11</v>
      </c>
      <c r="AN19" s="209">
        <f t="shared" si="18"/>
        <v>6</v>
      </c>
      <c r="AO19" s="210">
        <v>5</v>
      </c>
      <c r="AP19" s="210">
        <v>4</v>
      </c>
      <c r="AQ19" s="210">
        <v>4</v>
      </c>
      <c r="AR19" s="210">
        <v>4</v>
      </c>
      <c r="AS19" s="152">
        <f t="shared" si="18"/>
        <v>0</v>
      </c>
      <c r="AT19" s="152">
        <f t="shared" si="18"/>
        <v>0</v>
      </c>
      <c r="AU19" s="210"/>
      <c r="AV19" s="211"/>
      <c r="AW19" s="210"/>
      <c r="AX19" s="211"/>
      <c r="AY19" s="133">
        <f>SUBTOTAL(9,AY9:AY18)</f>
        <v>3785</v>
      </c>
      <c r="AZ19" s="134">
        <f>SUBTOTAL(9,AZ9:AZ18)</f>
        <v>1999</v>
      </c>
      <c r="BA19" s="134">
        <f>SUBTOTAL(9,BA9:BA18)</f>
        <v>1743</v>
      </c>
      <c r="BB19" s="134">
        <f>SUBTOTAL(9,BB9:BB18)</f>
        <v>4041</v>
      </c>
      <c r="BC19" s="135">
        <f>SUBTOTAL(9,BC9:BC18)</f>
        <v>499</v>
      </c>
      <c r="BD19" s="212">
        <f>IF(ISNUMBER(BA19/AZ19),BA19/AZ19," - ")</f>
        <v>0.87193596798399198</v>
      </c>
      <c r="BE19" s="209">
        <f>IF(ISNUMBER(BB19/BA19),BB19/BA19, " - ")</f>
        <v>2.3184165232358005</v>
      </c>
      <c r="BF19" s="209">
        <f>IF(ISNUMBER(BC19/BA19),BC19/BA19, " - ")</f>
        <v>0.28628800917957542</v>
      </c>
      <c r="BG19" s="135">
        <f>IF(ISNUMBER((AY19+AZ19)/BA19),(AY19+AZ19)/BA19," - ")</f>
        <v>3.3184165232358005</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b9gSQmbi2Nl0mguz1sLiB1GJtw1cIhKYDp3AGZ2EnyNypK5BS7PtPiqYreqjOwaBvh76oFmYVzQBbGWK4IG7g==" saltValue="EQrM/t75SOYTWehnf6Aa2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106GL1CnnUy2dWgVbvRdFdWSUu23TlcsRmaZoNJJHggtwhwWpkYl2wsBbiyA//FXQtiOpxZVjnwtOZEZKGpHw==" saltValue="DbBRwNf8hSJTlUgzUHcm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XATIVA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12</v>
      </c>
      <c r="AG10" s="333"/>
      <c r="AH10" s="333"/>
      <c r="AI10" s="333"/>
      <c r="AJ10" s="333"/>
      <c r="AK10" s="333"/>
      <c r="AL10" s="478"/>
      <c r="AM10" s="334">
        <f>IF(ISNUMBER(Datos!R10),Datos!R10," - ")</f>
        <v>21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156</v>
      </c>
      <c r="O12" s="333"/>
      <c r="P12" s="333"/>
      <c r="Q12" s="225">
        <f>IF(ISNUMBER(Datos!P12),Datos!P12,0)</f>
        <v>304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216</v>
      </c>
      <c r="AI12" s="333" t="str">
        <f>IF(ISNUMBER(Datos!CD12),Datos!CD12,"-")</f>
        <v>-</v>
      </c>
      <c r="AJ12" s="333" t="str">
        <f>IF(ISNUMBER(Datos!EN12),Datos!EN12," - ")</f>
        <v xml:space="preserve"> - </v>
      </c>
      <c r="AK12" s="333"/>
      <c r="AL12" s="478"/>
      <c r="AM12" s="334">
        <f>IF(ISNUMBER(Datos!R12),Datos!R12," - ")</f>
        <v>4466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348</v>
      </c>
      <c r="BD12" s="228">
        <f>IF(ISNUMBER(Datos!N12),Datos!N12," - ")</f>
        <v>366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1.2165898617511521</v>
      </c>
      <c r="BH12" s="259">
        <f>IF(ISNUMBER(((IF(J_V="SI",Datos!L12/Datos!K12,(Datos!L12+Datos!AB12)/(Datos!K12+Datos!AA12)))*11)/factor_trimestre),((IF(J_V="SI",Datos!L12/Datos!K12,(Datos!L12+Datos!AB12)/(Datos!K12+Datos!AA12)))*11)/factor_trimestre," - ")</f>
        <v>6.9289772727272734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4.1025641025641026E-2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156</v>
      </c>
      <c r="O13" s="899">
        <f t="shared" si="0"/>
        <v>0</v>
      </c>
      <c r="P13" s="899">
        <f t="shared" si="0"/>
        <v>0</v>
      </c>
      <c r="Q13" s="898">
        <f t="shared" si="0"/>
        <v>305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128</v>
      </c>
      <c r="AD13" s="898">
        <f t="shared" si="1"/>
        <v>0</v>
      </c>
      <c r="AE13" s="898">
        <f t="shared" si="1"/>
        <v>0</v>
      </c>
      <c r="AF13" s="898">
        <f t="shared" si="1"/>
        <v>12</v>
      </c>
      <c r="AG13" s="898">
        <f t="shared" si="1"/>
        <v>0</v>
      </c>
      <c r="AH13" s="898">
        <f t="shared" si="1"/>
        <v>216</v>
      </c>
      <c r="AI13" s="898">
        <f t="shared" si="1"/>
        <v>0</v>
      </c>
      <c r="AJ13" s="898">
        <f t="shared" si="1"/>
        <v>0</v>
      </c>
      <c r="AK13" s="898">
        <f t="shared" si="1"/>
        <v>0</v>
      </c>
      <c r="AL13" s="898">
        <f t="shared" si="1"/>
        <v>0</v>
      </c>
      <c r="AM13" s="898">
        <f t="shared" si="1"/>
        <v>4487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348</v>
      </c>
      <c r="BD13" s="898">
        <f t="shared" si="1"/>
        <v>366</v>
      </c>
      <c r="BE13" s="898">
        <f t="shared" si="1"/>
        <v>0</v>
      </c>
      <c r="BF13" s="898">
        <f t="shared" si="1"/>
        <v>0</v>
      </c>
      <c r="BG13" s="898">
        <f>IF(ISNUMBER(Datos!K13/Datos!J13),Datos!K13/Datos!J13," - ")</f>
        <v>1.252808988764045</v>
      </c>
      <c r="BH13" s="902">
        <f>IF(ISNUMBER(((Datos!L13/Datos!K13)*11)/factor_trimestre),((Datos!L13/Datos!K13)*11)/factor_trimestre," - ")</f>
        <v>7.5168161434977581</v>
      </c>
      <c r="BI13" s="898">
        <f>IF(ISNUMBER('Resol  Asuntos'!D13/NºAsuntos!G13),'Resol  Asuntos'!D13/NºAsuntos!G13," - ")</f>
        <v>0.32954545454545453</v>
      </c>
      <c r="BJ13" s="898" t="str">
        <f>IF(ISNUMBER(Datos!CI13/Datos!CJ13),Datos!CI13/Datos!CJ13," - ")</f>
        <v xml:space="preserve"> - </v>
      </c>
      <c r="BK13" s="898">
        <f>SUBTOTAL(9,BK8:BK12)</f>
        <v>0</v>
      </c>
      <c r="BL13" s="898">
        <f>IF(ISNUMBER((I13-AB13+L13)/(F13)),(I13-AB13+L13)/(F13)," - ")</f>
        <v>0</v>
      </c>
      <c r="BM13" s="903">
        <f>SUBTOTAL(9,BM9:BM12)</f>
        <v>9.1025641025641035E-2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1797</v>
      </c>
      <c r="G16" s="597">
        <f>IF(ISNUMBER(IF(D_I="SI",Datos!I16,Datos!I16+Datos!AC16)),IF(D_I="SI",Datos!I16,Datos!I16+Datos!AC16)," - ")</f>
        <v>1797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868</v>
      </c>
      <c r="AC16" s="225">
        <f>IF(ISNUMBER(Datos!Q16),Datos!Q16," - ")</f>
        <v>38</v>
      </c>
      <c r="AD16" s="333"/>
      <c r="AE16" s="483"/>
      <c r="AF16" s="595">
        <f>IF(ISNUMBER(IF(D_I="SI",Datos!L16,Datos!L16+Datos!AF16)),IF(D_I="SI",Datos!L16,Datos!L16+Datos!AF16)," - ")</f>
        <v>2144</v>
      </c>
      <c r="AG16" s="333"/>
      <c r="AH16" s="333"/>
      <c r="AI16" s="333"/>
      <c r="AJ16" s="333"/>
      <c r="AK16" s="333"/>
      <c r="AL16" s="478"/>
      <c r="AM16" s="334">
        <f>IF(ISNUMBER(Datos!R16),Datos!R16," - ")</f>
        <v>189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123</v>
      </c>
      <c r="BD16" s="228">
        <f>IF(ISNUMBER(Datos!N16),Datos!N16," - ")</f>
        <v>522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0.7144032921810699</v>
      </c>
      <c r="BH16" s="259">
        <f>IF(ISNUMBER(((IF(D_I="SI",Datos!L16/Datos!K16,(Datos!L16+Datos!AF16)/(Datos!K16+Datos!AE16)))*11)/factor_trimestre),((IF(D_I="SI",Datos!L16/Datos!K16,(Datos!L16+Datos!AF16)/(Datos!K16+Datos!AE16)))*11)/factor_trimestre," - ")</f>
        <v>7.4101382488479262</v>
      </c>
      <c r="BI16" s="242">
        <f>IF(ISNUMBER('Resol  Asuntos'!D16/NºAsuntos!G16),'Resol  Asuntos'!D16/NºAsuntos!G16," - ")</f>
        <v>0.14170506912442396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v>
      </c>
      <c r="AC17" s="225">
        <f>IF(ISNUMBER(Datos!Q17),Datos!Q17," - ")</f>
        <v>0</v>
      </c>
      <c r="AD17" s="333"/>
      <c r="AE17" s="483"/>
      <c r="AF17" s="331">
        <f>IF(ISNUMBER(Datos!L17),Datos!L17,"-")</f>
        <v>9</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0</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13.5</v>
      </c>
      <c r="BI17" s="242">
        <f>IF(ISNUMBER('Resol  Asuntos'!D17/NºAsuntos!G17),'Resol  Asuntos'!D17/NºAsuntos!G17," - ")</f>
        <v>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1797</v>
      </c>
      <c r="G18" s="897">
        <f>SUBTOTAL(9,G15:G17)</f>
        <v>1808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870</v>
      </c>
      <c r="AC18" s="898">
        <f t="shared" si="4"/>
        <v>38</v>
      </c>
      <c r="AD18" s="898">
        <f t="shared" si="4"/>
        <v>0</v>
      </c>
      <c r="AE18" s="898">
        <f t="shared" si="4"/>
        <v>0</v>
      </c>
      <c r="AF18" s="898">
        <f t="shared" si="4"/>
        <v>2153</v>
      </c>
      <c r="AG18" s="898">
        <f t="shared" si="4"/>
        <v>0</v>
      </c>
      <c r="AH18" s="898">
        <f t="shared" si="4"/>
        <v>0</v>
      </c>
      <c r="AI18" s="898">
        <f t="shared" si="4"/>
        <v>0</v>
      </c>
      <c r="AJ18" s="898">
        <f t="shared" si="4"/>
        <v>0</v>
      </c>
      <c r="AK18" s="898">
        <f t="shared" si="4"/>
        <v>0</v>
      </c>
      <c r="AL18" s="898">
        <f t="shared" si="4"/>
        <v>0</v>
      </c>
      <c r="AM18" s="898">
        <f t="shared" si="4"/>
        <v>191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125</v>
      </c>
      <c r="BD18" s="898">
        <f t="shared" si="4"/>
        <v>522</v>
      </c>
      <c r="BE18" s="898">
        <f t="shared" si="4"/>
        <v>0</v>
      </c>
      <c r="BF18" s="898">
        <f t="shared" si="4"/>
        <v>0</v>
      </c>
      <c r="BG18" s="898">
        <f>IF(ISNUMBER(Datos!K18/Datos!J18),Datos!K18/Datos!J18," - ")</f>
        <v>0.71604938271604934</v>
      </c>
      <c r="BH18" s="902">
        <f>IF(ISNUMBER(((Datos!L18/Datos!K18)*11)/factor_trimestre),((Datos!L18/Datos!K18)*11)/factor_trimestre," - ")</f>
        <v>7.4241379310344833</v>
      </c>
      <c r="BI18" s="898">
        <f>SUBTOTAL(9,BI15:BI17)</f>
        <v>1.1417050691244239</v>
      </c>
      <c r="BJ18" s="898">
        <f>SUBTOTAL(9,BJ15:BJ17)</f>
        <v>0</v>
      </c>
      <c r="BK18" s="898">
        <f>SUBTOTAL(9,BK15:BK17)</f>
        <v>0</v>
      </c>
      <c r="BL18" s="898">
        <f>IF(ISNUMBER((I18-AB18+L18)/(F18)),(I18-AB18+L18)/(F18)," - ")</f>
        <v>-0.48414023372287146</v>
      </c>
      <c r="BM18" s="904">
        <f>IF(ISNUMBER((Datos!P18-Datos!Q18)/(Datos!R18-Datos!P18+Datos!Q18)),(Datos!P18-Datos!Q18)/(Datos!R18-Datos!P18+Datos!Q18)," - ")</f>
        <v>1.5957446808510637E-2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1809</v>
      </c>
      <c r="G19" s="819">
        <f t="shared" si="6"/>
        <v>1820</v>
      </c>
      <c r="H19" s="821">
        <f t="shared" si="6"/>
        <v>0</v>
      </c>
      <c r="I19" s="819">
        <f t="shared" si="6"/>
        <v>0</v>
      </c>
      <c r="J19" s="821">
        <f t="shared" si="6"/>
        <v>0</v>
      </c>
      <c r="K19" s="821">
        <f t="shared" si="6"/>
        <v>0</v>
      </c>
      <c r="L19" s="880">
        <f t="shared" si="6"/>
        <v>0</v>
      </c>
      <c r="M19" s="880">
        <f t="shared" si="6"/>
        <v>0</v>
      </c>
      <c r="N19" s="880">
        <f t="shared" si="6"/>
        <v>156</v>
      </c>
      <c r="O19" s="880">
        <f t="shared" si="6"/>
        <v>0</v>
      </c>
      <c r="P19" s="880">
        <f t="shared" si="6"/>
        <v>0</v>
      </c>
      <c r="Q19" s="821">
        <f t="shared" si="6"/>
        <v>346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870</v>
      </c>
      <c r="AC19" s="820">
        <f t="shared" si="7"/>
        <v>166</v>
      </c>
      <c r="AD19" s="820">
        <f t="shared" si="7"/>
        <v>0</v>
      </c>
      <c r="AE19" s="820">
        <f t="shared" si="7"/>
        <v>0</v>
      </c>
      <c r="AF19" s="827">
        <f t="shared" si="7"/>
        <v>2165</v>
      </c>
      <c r="AG19" s="827">
        <f t="shared" si="7"/>
        <v>0</v>
      </c>
      <c r="AH19" s="827">
        <f t="shared" si="7"/>
        <v>216</v>
      </c>
      <c r="AI19" s="827">
        <f t="shared" si="7"/>
        <v>0</v>
      </c>
      <c r="AJ19" s="820">
        <f t="shared" si="7"/>
        <v>0</v>
      </c>
      <c r="AK19" s="827">
        <f t="shared" si="7"/>
        <v>0</v>
      </c>
      <c r="AL19" s="827">
        <f t="shared" si="7"/>
        <v>0</v>
      </c>
      <c r="AM19" s="827">
        <f t="shared" si="7"/>
        <v>4678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473</v>
      </c>
      <c r="BD19" s="819">
        <f t="shared" si="7"/>
        <v>888</v>
      </c>
      <c r="BE19" s="819">
        <f t="shared" si="7"/>
        <v>0</v>
      </c>
      <c r="BF19" s="829">
        <f t="shared" si="7"/>
        <v>0</v>
      </c>
      <c r="BG19" s="914">
        <f>IF(ISNUMBER(Datos!K19/Datos!J19),Datos!K19/Datos!J19," - ")</f>
        <v>0.9143746756616502</v>
      </c>
      <c r="BH19" s="914">
        <f>IF(ISNUMBER(((Datos!L19/Datos!K19)*11)/factor_trimestre),((Datos!L19/Datos!K19)*11)/factor_trimestre," - ")</f>
        <v>7.4710556186152104</v>
      </c>
      <c r="BI19" s="812">
        <f>IF(ISNUMBER(Datos!J19/Datos!I19),Datos!J19/Datos!I19," - ")</f>
        <v>0.45652688936271024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-0.48092868988391374</v>
      </c>
      <c r="BM19" s="888">
        <f>IF(ISNUMBER((Datos!P19-Datos!Q19+R19)/(Datos!R19-Datos!P19+Datos!Q19-R19)),(Datos!P19-Datos!Q19+R19)/(Datos!R19-Datos!P19+Datos!Q19-R19)," - ")</f>
        <v>4.0017785682525564E-2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1030.570230503482</v>
      </c>
      <c r="G21" s="551">
        <f>IF(ISNUMBER(STDEV(G8:G18)),STDEV(G8:G18),"-")</f>
        <v>980.88760824061796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475.60698060478467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157.36157938539722</v>
      </c>
      <c r="BD21" s="550"/>
      <c r="BE21" s="550">
        <f>IF(ISNUMBER(STDEV(BE8:BE18)),STDEV(BE8:BE18),"-")</f>
        <v>0</v>
      </c>
      <c r="BF21" s="555">
        <f>IF(ISNUMBER(STDEV(BF8:BF18)),STDEV(BF8:BF18),"-")</f>
        <v>0</v>
      </c>
      <c r="BG21" s="774">
        <f>IF(ISNUMBER(STDEV(BG8:BG18)),STDEV(BG8:BG18),"-")</f>
        <v>0.30028295342097511</v>
      </c>
      <c r="BH21" s="775">
        <f>IF(ISNUMBER(STDEV(BH8:BH18)),STDEV(BH8:BH18),"-")</f>
        <v>2.7732811315130124</v>
      </c>
      <c r="BI21" s="248">
        <f>IF(ISNUMBER(STDEV(BI8:BI18)),STDEV(BI8:BI18),"-")</f>
        <v>0.49169325316121554</v>
      </c>
      <c r="BJ21" s="229" t="str">
        <f>IF(ISNUMBER(BL21/BM21),BL21/BM21," - ")</f>
        <v xml:space="preserve"> - </v>
      </c>
      <c r="BK21" s="574"/>
      <c r="BL21" s="558">
        <f>IF(ISNUMBER(STDEV(BL8:BL18)),STDEV(BL8:BL18),"-")</f>
        <v>0.34233884231068246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qjOA6DL5YaBmKObBJr/62oeWp9WNR8gM06lY2ZSuzhWcD0TZQQ21LpCEdw5E0wxyTj+QovhaXkgWsskAErMUA==" saltValue="A5BiTtbdxdgf3X0bkH73Y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XATIVA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12</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128</v>
      </c>
      <c r="AA12" s="331" t="str">
        <f>IF(ISNUMBER(IF(J_V="SI",Datos!L12,Datos!L12+Datos!AB12)-IF(Monitorios="SI",Datos!CD12,0)),
                          IF(J_V="SI",Datos!L12,Datos!L12+Datos!AB12)-IF(Monitorios="SI",Datos!CD12,0),
                          " - ")</f>
        <v xml:space="preserve"> - </v>
      </c>
      <c r="AB12" s="333"/>
      <c r="AC12" s="333"/>
      <c r="AD12" s="483"/>
      <c r="AE12" s="483">
        <f>IF(ISNUMBER(Datos!R12),Datos!R12," - ")</f>
        <v>4466</v>
      </c>
      <c r="AF12" s="228" t="str">
        <f>IF(ISNUMBER(Datos!BV12),Datos!BV12," - ")</f>
        <v xml:space="preserve"> - </v>
      </c>
      <c r="AG12" s="224" t="str">
        <f>IF(ISNUMBER(Datos!DV12),Datos!DV12," - ")</f>
        <v xml:space="preserve"> - </v>
      </c>
      <c r="AH12" s="297"/>
      <c r="AI12" s="226"/>
      <c r="AJ12" s="224">
        <f>IF(ISNUMBER(Datos!M12),Datos!M12," - ")</f>
        <v>348</v>
      </c>
      <c r="AK12" s="228">
        <f>IF(ISNUMBER(Datos!N12),Datos!N12," - ")</f>
        <v>366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6.9289772727272734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4.1025641025641026E-2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305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128</v>
      </c>
      <c r="AA13" s="899">
        <f t="shared" si="2"/>
        <v>12</v>
      </c>
      <c r="AB13" s="899">
        <f t="shared" si="2"/>
        <v>0</v>
      </c>
      <c r="AC13" s="899">
        <f t="shared" si="2"/>
        <v>0</v>
      </c>
      <c r="AD13" s="899">
        <f t="shared" si="2"/>
        <v>0</v>
      </c>
      <c r="AE13" s="899">
        <f t="shared" si="2"/>
        <v>4487</v>
      </c>
      <c r="AF13" s="907">
        <f t="shared" si="2"/>
        <v>0</v>
      </c>
      <c r="AG13" s="907">
        <f t="shared" si="2"/>
        <v>0</v>
      </c>
      <c r="AH13" s="907">
        <f t="shared" si="2"/>
        <v>0</v>
      </c>
      <c r="AI13" s="907">
        <f t="shared" si="2"/>
        <v>0</v>
      </c>
      <c r="AJ13" s="907">
        <f t="shared" si="2"/>
        <v>348</v>
      </c>
      <c r="AK13" s="907">
        <f t="shared" si="2"/>
        <v>366</v>
      </c>
      <c r="AL13" s="907">
        <f t="shared" si="2"/>
        <v>0</v>
      </c>
      <c r="AM13" s="907">
        <f t="shared" si="2"/>
        <v>0</v>
      </c>
      <c r="AN13" s="907">
        <f t="shared" si="2"/>
        <v>0</v>
      </c>
      <c r="AO13" s="903">
        <f>IF(ISNUMBER(((NºAsuntos!I13/NºAsuntos!G13)*11)/factor_trimestre),((NºAsuntos!I13/NºAsuntos!G13)*11)/factor_trimestre," - ")</f>
        <v>6.9630681818181808</v>
      </c>
      <c r="AP13" s="909" t="str">
        <f>IF(ISNUMBER(Datos!CI13/Datos!CJ13),Datos!CI13/Datos!CJ13," - ")</f>
        <v xml:space="preserve"> - </v>
      </c>
      <c r="AQ13" s="927">
        <f t="shared" ref="AQ13:AV13" si="3">SUBTOTAL(9,AQ9:AQ12)</f>
        <v>0</v>
      </c>
      <c r="AR13" s="927">
        <f t="shared" si="3"/>
        <v>9.1025641025641035E-2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1797</v>
      </c>
      <c r="G16" s="224">
        <f>IF(ISNUMBER(IF(D_I="SI",Datos!I16,Datos!I16+Datos!AC16)),IF(D_I="SI",Datos!I16,Datos!I16+Datos!AC16)," - ")</f>
        <v>1797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868</v>
      </c>
      <c r="Z16" s="618">
        <f>IF(ISNUMBER(Datos!Q16),Datos!Q16," - ")</f>
        <v>38</v>
      </c>
      <c r="AA16" s="331">
        <f>IF(ISNUMBER(IF(D_I="SI",Datos!L16,Datos!L16+Datos!AF16)),IF(D_I="SI",Datos!L16,Datos!L16+Datos!AF16)," - ")</f>
        <v>2144</v>
      </c>
      <c r="AB16" s="333"/>
      <c r="AC16" s="333"/>
      <c r="AD16" s="483"/>
      <c r="AE16" s="483">
        <f>IF(ISNUMBER(Datos!R16),Datos!R16," - ")</f>
        <v>189</v>
      </c>
      <c r="AF16" s="228" t="str">
        <f>IF(ISNUMBER(Datos!BV16),Datos!BV16," - ")</f>
        <v xml:space="preserve"> - </v>
      </c>
      <c r="AG16" s="224"/>
      <c r="AH16" s="297"/>
      <c r="AI16" s="226"/>
      <c r="AJ16" s="224">
        <f>IF(ISNUMBER(Datos!M16),Datos!M16," - ")</f>
        <v>123</v>
      </c>
      <c r="AK16" s="228">
        <f>IF(ISNUMBER(Datos!N16),Datos!N16," - ")</f>
        <v>522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7.4101382488479262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v>
      </c>
      <c r="Z17" s="618">
        <f>IF(ISNUMBER(Datos!Q17),Datos!Q17," - ")</f>
        <v>0</v>
      </c>
      <c r="AA17" s="331">
        <f>IF(ISNUMBER(Datos!L17),Datos!L17,"-")</f>
        <v>9</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2</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1797</v>
      </c>
      <c r="G18" s="897">
        <f>SUBTOTAL(9,G15:G17)</f>
        <v>1808</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870</v>
      </c>
      <c r="Z18" s="931">
        <f t="shared" si="5"/>
        <v>38</v>
      </c>
      <c r="AA18" s="931">
        <f t="shared" si="5"/>
        <v>2153</v>
      </c>
      <c r="AB18" s="931">
        <f t="shared" si="5"/>
        <v>0</v>
      </c>
      <c r="AC18" s="931">
        <f t="shared" si="5"/>
        <v>0</v>
      </c>
      <c r="AD18" s="931">
        <f t="shared" si="5"/>
        <v>0</v>
      </c>
      <c r="AE18" s="931">
        <f t="shared" si="5"/>
        <v>191</v>
      </c>
      <c r="AF18" s="931">
        <f t="shared" si="5"/>
        <v>0</v>
      </c>
      <c r="AG18" s="931">
        <f t="shared" si="5"/>
        <v>0</v>
      </c>
      <c r="AH18" s="931">
        <f t="shared" si="5"/>
        <v>0</v>
      </c>
      <c r="AI18" s="931">
        <f t="shared" si="5"/>
        <v>0</v>
      </c>
      <c r="AJ18" s="931">
        <f t="shared" si="5"/>
        <v>125</v>
      </c>
      <c r="AK18" s="931">
        <f t="shared" si="5"/>
        <v>522</v>
      </c>
      <c r="AL18" s="931">
        <f t="shared" si="5"/>
        <v>0</v>
      </c>
      <c r="AM18" s="931">
        <f t="shared" si="5"/>
        <v>0</v>
      </c>
      <c r="AN18" s="931">
        <f t="shared" si="5"/>
        <v>0</v>
      </c>
      <c r="AO18" s="933">
        <f>IF(ISNUMBER(((NºAsuntos!I18/NºAsuntos!G18)*11)/factor_trimestre),((NºAsuntos!I18/NºAsuntos!G18)*11)/factor_trimestre," - ")</f>
        <v>7.4241379310344833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1809</v>
      </c>
      <c r="G19" s="819">
        <f t="shared" si="7"/>
        <v>1820</v>
      </c>
      <c r="H19" s="820">
        <f t="shared" si="7"/>
        <v>0</v>
      </c>
      <c r="I19" s="819">
        <f t="shared" si="7"/>
        <v>0</v>
      </c>
      <c r="J19" s="821">
        <f t="shared" si="7"/>
        <v>0</v>
      </c>
      <c r="K19" s="819">
        <f t="shared" si="7"/>
        <v>0</v>
      </c>
      <c r="L19" s="822">
        <f t="shared" si="7"/>
        <v>0</v>
      </c>
      <c r="M19" s="819">
        <f t="shared" si="7"/>
        <v>0</v>
      </c>
      <c r="N19" s="820">
        <f t="shared" si="7"/>
        <v>346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870</v>
      </c>
      <c r="Z19" s="826">
        <f t="shared" si="8"/>
        <v>166</v>
      </c>
      <c r="AA19" s="827">
        <f t="shared" si="8"/>
        <v>2165</v>
      </c>
      <c r="AB19" s="827">
        <f t="shared" si="8"/>
        <v>0</v>
      </c>
      <c r="AC19" s="827">
        <f t="shared" si="8"/>
        <v>0</v>
      </c>
      <c r="AD19" s="828">
        <f t="shared" si="8"/>
        <v>0</v>
      </c>
      <c r="AE19" s="828">
        <f t="shared" si="8"/>
        <v>4678</v>
      </c>
      <c r="AF19" s="829">
        <f t="shared" si="8"/>
        <v>0</v>
      </c>
      <c r="AG19" s="830">
        <f t="shared" si="8"/>
        <v>0</v>
      </c>
      <c r="AH19" s="831">
        <f t="shared" si="8"/>
        <v>0</v>
      </c>
      <c r="AI19" s="829">
        <f t="shared" si="8"/>
        <v>0</v>
      </c>
      <c r="AJ19" s="819">
        <f t="shared" si="8"/>
        <v>473</v>
      </c>
      <c r="AK19" s="819">
        <f t="shared" si="8"/>
        <v>888</v>
      </c>
      <c r="AL19" s="819">
        <f t="shared" si="8"/>
        <v>0</v>
      </c>
      <c r="AM19" s="832">
        <f t="shared" si="8"/>
        <v>0</v>
      </c>
      <c r="AN19" s="822">
        <f>IF(ISNUMBER(Datos!K19/Datos!J19),Datos!K19/Datos!J19," - ")</f>
        <v>0.9143746756616502</v>
      </c>
      <c r="AO19" s="822">
        <f>IF(ISNUMBER(FIND("06",Criterios!A8,1)),(IF(ISNUMBER(((Datos!R19/Datos!Q19)*11)/factor_trimestre),((Datos!R19/Datos!Q19)*11)/factor_trimestre," - ")),(IF(ISNUMBER(((Datos!L19/Datos!K19)*11)/factor_trimestre),((Datos!L19/Datos!K19)*11)/factor_trimestre," - ")))</f>
        <v>7.4710556186152104</v>
      </c>
      <c r="AP19" s="833" t="str">
        <f>IF(ISNUMBER(Datos!CI19/Datos!CJ19),Datos!CI19/Datos!CJ19," - ")</f>
        <v xml:space="preserve"> - </v>
      </c>
      <c r="AQ19" s="833">
        <f>IF(OR(ISNUMBER(FIND("01",Criterios!A8,1)),ISNUMBER(FIND("02",Criterios!A8,1)),ISNUMBER(FIND("03",Criterios!A8,1)),ISNUMBER(FIND("04",Criterios!A8,1))),(J19-Y19+K19)/(F19-K19),(I19-Y19+K19)/(F19-K19))</f>
        <v>-0.48092868988391374</v>
      </c>
      <c r="AR19" s="833">
        <f>IF(ISNUMBER((Datos!P19-Datos!Q19+O19)/(Datos!R19-Datos!P19+Datos!Q19-O19)),(Datos!P19-Datos!Q19+O19)/(Datos!R19-Datos!P19+Datos!Q19-O19)," - ")</f>
        <v>4.0017785682525564E-2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1030.570230503482</v>
      </c>
      <c r="G21" s="551">
        <f>IF(ISNUMBER(STDEV(G8:G18)),STDEV(G8:G18),"-")</f>
        <v>980.88760824061796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157.36157938539722</v>
      </c>
      <c r="AK21" s="251"/>
      <c r="AL21" s="251">
        <f>IF(ISNUMBER(STDEV(AL8:AL18)),STDEV(AL8:AL18),"-")</f>
        <v>0</v>
      </c>
      <c r="AM21" s="253">
        <f>IF(ISNUMBER(STDEV(AM8:AM18)),STDEV(AM8:AM18),"-")</f>
        <v>0</v>
      </c>
      <c r="AN21" s="538">
        <f>IF(ISNUMBER(STDEV(AN8:AN18)),STDEV(AN8:AN18),"-")</f>
        <v>0</v>
      </c>
      <c r="AO21" s="539">
        <f>IF(ISNUMBER(STDEV(AO8:AO18)),STDEV(AO8:AO18),"-")</f>
        <v>2.8355144895527205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1T79z6JmdXOGV+AeFdCuVJVzb33NV3yws60CNdT+o2sffn0n+wMWUh85+r4kyJQBvdSWYoSvQqBqyr3ipPwQw==" saltValue="9b6KlulpXqVwMUBUc+oln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xa3YZ3i6RWY/taBZJFVG04AnkUJqhR/cRQ11iqFIlTH9IGFHj12ghaq59ZDG5cBSpKrFhOuF2ADJmJMj2mcyw==" saltValue="IxMDwhs/MGQerP7xcOI41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KT31u61qCjsTeDFBAqJNUbZqzyvOPbanAYiziNcS2herWZzxNsjPUFhgrcCtMBLHYXNfigwbwdJFhP3rocvzA==" saltValue="3mcFzYcBFyvQgEGWEMDG+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XATIVA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0.32954545454545453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0.23302382561829407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Vyt4eRXxcU8cq6KGT5q5cp49KsedWBiymDhqtU885BwDuBby95YNLDlvRg8LhD8EK+W2epMgoT/fixZdYBL3g==" saltValue="3QK+pUauU3WLvJolObga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pQxNaXrHq4llK5XWrTNgFkYukbEOUT+uHZ2Yn6GQ4eID0nS91hBLw/c7nMMesCBQ7Jbw7e7+Xv1EORz5HvHWQ==" saltValue="3UYT80IMlB/LrTx8UId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XATIVA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0</v>
      </c>
      <c r="F10" s="403">
        <f>IF(ISNUMBER(E10/B10),E10/B10," - ")</f>
        <v>0</v>
      </c>
      <c r="G10" s="402">
        <f>IF(ISNUMBER(Datos!K10),Datos!K10," - ")</f>
        <v>0</v>
      </c>
      <c r="H10" s="403">
        <f>IF(ISNUMBER(G10/B10),G10/B10," - ")</f>
        <v>0</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2625</v>
      </c>
      <c r="D12" s="403">
        <f>IF(ISNUMBER(C12/Datos!BH12),C12/Datos!BH12," - ")</f>
        <v>656.25</v>
      </c>
      <c r="E12" s="402">
        <f>IF(ISNUMBER(IF(J_V="SI",Datos!J12,Datos!J12+Datos!Z12)),IF(J_V="SI",Datos!J12,Datos!J12+Datos!Z12)," - ")</f>
        <v>868</v>
      </c>
      <c r="F12" s="403">
        <f>IF(ISNUMBER(E12/B12),E12/B12," - ")</f>
        <v>217</v>
      </c>
      <c r="G12" s="402">
        <f>IF(ISNUMBER(IF(J_V="SI",Datos!K12,Datos!K12+Datos!AA12)),IF(J_V="SI",Datos!K12,Datos!K12+Datos!AA12)," - ")</f>
        <v>1056</v>
      </c>
      <c r="H12" s="403">
        <f>IF(ISNUMBER(G12/B12),G12/B12," - ")</f>
        <v>264</v>
      </c>
      <c r="I12" s="402">
        <f>IF(ISNUMBER(IF(J_V="SI",Datos!L12,Datos!L12+Datos!AB12)),IF(J_V="SI",Datos!L12,Datos!L12+Datos!AB12)," - ")</f>
        <v>2439</v>
      </c>
      <c r="J12" s="403">
        <f>IF(ISNUMBER(I12/B12),I12/B12," - ")</f>
        <v>609.75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2637</v>
      </c>
      <c r="D13" s="849" t="str">
        <f>IF(ISNUMBER(C13/Datos!BI13),C13/Datos!BI13," - ")</f>
        <v xml:space="preserve"> - </v>
      </c>
      <c r="E13" s="848">
        <f>SUBTOTAL(9,E8:E12)</f>
        <v>868</v>
      </c>
      <c r="F13" s="849">
        <f>IF(ISNUMBER(E13/B13),E13/B13," - ")</f>
        <v>217</v>
      </c>
      <c r="G13" s="848">
        <f>SUBTOTAL(9,G8:G12)</f>
        <v>1056</v>
      </c>
      <c r="H13" s="849">
        <f>IF(ISNUMBER(G13/B13),G13/B13," - ")</f>
        <v>264</v>
      </c>
      <c r="I13" s="848">
        <f>SUBTOTAL(9,I8:I12)</f>
        <v>2451</v>
      </c>
      <c r="J13" s="849">
        <f>IF(ISNUMBER(I13/B13),I13/B13," - ")</f>
        <v>612.75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1797</v>
      </c>
      <c r="D16" s="403">
        <f>IF(ISNUMBER(C16/Datos!BH16),C16/Datos!BH16," - ")</f>
        <v>449.25</v>
      </c>
      <c r="E16" s="402">
        <f>IF(ISNUMBER(IF(D_I="SI",Datos!J16,Datos!J16+Datos!AD16)),IF(D_I="SI",Datos!J16,Datos!J16+Datos!AD16)," - ")</f>
        <v>1215</v>
      </c>
      <c r="F16" s="403">
        <f>IF(ISNUMBER(E16/B16),E16/B16," - ")</f>
        <v>303.75</v>
      </c>
      <c r="G16" s="402">
        <f>IF(ISNUMBER(IF(D_I="SI",Datos!K16,Datos!K16+Datos!AE16)),IF(D_I="SI",Datos!K16,Datos!K16+Datos!AE16)," - ")</f>
        <v>868</v>
      </c>
      <c r="H16" s="403">
        <f>IF(ISNUMBER(G16/B16),G16/B16," - ")</f>
        <v>217</v>
      </c>
      <c r="I16" s="402">
        <f>IF(ISNUMBER(IF(D_I="SI",Datos!L16,Datos!L16+Datos!AF16)),IF(D_I="SI",Datos!L16,Datos!L16+Datos!AF16)," - ")</f>
        <v>2144</v>
      </c>
      <c r="J16" s="403">
        <f>IF(ISNUMBER(I16/B16),I16/B16," - ")</f>
        <v>536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0</v>
      </c>
      <c r="F17" s="403">
        <f>IF(ISNUMBER(E17/B17),E17/B17," - ")</f>
        <v>0</v>
      </c>
      <c r="G17" s="402">
        <f>IF(ISNUMBER(IF(D_I="SI",Datos!K17,Datos!K17+Datos!AE17)),IF(D_I="SI",Datos!K17,Datos!K17+Datos!AE17)," - ")</f>
        <v>2</v>
      </c>
      <c r="H17" s="403">
        <f>IF(ISNUMBER(G17/B17),G17/B17," - ")</f>
        <v>2</v>
      </c>
      <c r="I17" s="402">
        <f>IF(ISNUMBER(IF(D_I="SI",Datos!L17,Datos!L17+Datos!AF17)),IF(D_I="SI",Datos!L17,Datos!L17+Datos!AF17)," - ")</f>
        <v>9</v>
      </c>
      <c r="J17" s="403">
        <f>IF(ISNUMBER(I17/B17),I17/B17," - ")</f>
        <v>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1808</v>
      </c>
      <c r="D18" s="849" t="str">
        <f>IF(ISNUMBER(C18/Datos!BI18),C18/Datos!BI18," - ")</f>
        <v xml:space="preserve"> - </v>
      </c>
      <c r="E18" s="848">
        <f>SUBTOTAL(9,E14:E17)</f>
        <v>1215</v>
      </c>
      <c r="F18" s="849">
        <f>IF(ISNUMBER(E18/B18),E18/B18," - ")</f>
        <v>303.75</v>
      </c>
      <c r="G18" s="848">
        <f>SUBTOTAL(9,G14:G17)</f>
        <v>870</v>
      </c>
      <c r="H18" s="849">
        <f>IF(ISNUMBER(G18/B18),G18/B18," - ")</f>
        <v>217.5</v>
      </c>
      <c r="I18" s="848">
        <f>SUBTOTAL(9,I14:I17)</f>
        <v>2153</v>
      </c>
      <c r="J18" s="849">
        <f>IF(ISNUMBER(I18/B18),I18/B18," - ")</f>
        <v>538.25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4445</v>
      </c>
      <c r="D19" s="794" t="str">
        <f>IF(ISNUMBER(C19/Datos!BI19),C19/Datos!BI19," - ")</f>
        <v xml:space="preserve"> - </v>
      </c>
      <c r="E19" s="793">
        <f>SUBTOTAL(9,E9:E18)</f>
        <v>2083</v>
      </c>
      <c r="F19" s="794">
        <f>IF(ISNUMBER(E19/B19),E19/B19," - ")</f>
        <v>520.75</v>
      </c>
      <c r="G19" s="793">
        <f>SUBTOTAL(9,G9:G18)</f>
        <v>1926</v>
      </c>
      <c r="H19" s="794">
        <f>IF(ISNUMBER(G19/B19),G19/B19," - ")</f>
        <v>481.5</v>
      </c>
      <c r="I19" s="793">
        <f>SUBTOTAL(9,I9:I18)</f>
        <v>4604</v>
      </c>
      <c r="J19" s="794">
        <f>IF(ISNUMBER(I19/B19),I19/B19," - ")</f>
        <v>1151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OJqzsDEevSypRY+omRgl7H9Ah42ahNHfeogEtz0xijKWuGaZcAzpXmRJdOZAEIN0Grjcg2WVSHuCPEnpwfHhg==" saltValue="QWW7iCwzAQa0ihcje78O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XATIVA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4466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348</v>
      </c>
      <c r="AM12" s="689">
        <f>IF(ISNUMBER(Datos!N12+DatosP!N16),Datos!N12+DatosP!N16," - ")</f>
        <v>366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6.9289772727272734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4.1025641025641026E-2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305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128</v>
      </c>
      <c r="AE13" s="938">
        <f t="shared" si="1"/>
        <v>0</v>
      </c>
      <c r="AF13" s="938">
        <f t="shared" si="1"/>
        <v>12</v>
      </c>
      <c r="AG13" s="938">
        <f t="shared" si="1"/>
        <v>0</v>
      </c>
      <c r="AH13" s="938">
        <f t="shared" si="1"/>
        <v>4466</v>
      </c>
      <c r="AI13" s="938">
        <f t="shared" si="1"/>
        <v>0</v>
      </c>
      <c r="AJ13" s="938">
        <f t="shared" si="1"/>
        <v>0</v>
      </c>
      <c r="AK13" s="938">
        <f t="shared" si="1"/>
        <v>0</v>
      </c>
      <c r="AL13" s="938">
        <f t="shared" si="1"/>
        <v>348</v>
      </c>
      <c r="AM13" s="938">
        <f t="shared" si="1"/>
        <v>366</v>
      </c>
      <c r="AN13" s="938">
        <f t="shared" si="1"/>
        <v>0</v>
      </c>
      <c r="AO13" s="938">
        <f t="shared" si="1"/>
        <v>0</v>
      </c>
      <c r="AP13" s="943">
        <f>IF(ISNUMBER(((Datos!L13/Datos!K13)*11)/factor_trimestre),((Datos!L13/Datos!K13)*11)/factor_trimestre," - ")</f>
        <v>7.5168161434977581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4.1025641025641026E-2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7.4241379310344833</v>
      </c>
      <c r="AQ18" s="943">
        <f>IF(ISNUMBER(((Datos!M18/Datos!L18)*11)/factor_trimestre),((Datos!M18/Datos!L18)*11)/factor_trimestre," - ")</f>
        <v>0.17417556897352529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1.5957446808510637E-2</v>
      </c>
      <c r="AW18" s="945">
        <f>IF(ISNUMBER((Datos!Q18-Datos!R18)/(Datos!S18-Datos!Q18+Datos!R18)),(Datos!Q18-Datos!R18)/(Datos!S18-Datos!Q18+Datos!R18)," - ")</f>
        <v>-8.45771144278607E-2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305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128</v>
      </c>
      <c r="AE19" s="956">
        <f t="shared" si="5"/>
        <v>0</v>
      </c>
      <c r="AF19" s="957">
        <f t="shared" si="5"/>
        <v>12</v>
      </c>
      <c r="AG19" s="957">
        <f t="shared" si="5"/>
        <v>0</v>
      </c>
      <c r="AH19" s="957">
        <f t="shared" si="5"/>
        <v>4466</v>
      </c>
      <c r="AI19" s="957">
        <f t="shared" si="5"/>
        <v>0</v>
      </c>
      <c r="AJ19" s="958">
        <f t="shared" si="5"/>
        <v>0</v>
      </c>
      <c r="AK19" s="958">
        <f t="shared" si="5"/>
        <v>0</v>
      </c>
      <c r="AL19" s="950">
        <f t="shared" si="5"/>
        <v>348</v>
      </c>
      <c r="AM19" s="950">
        <f t="shared" si="5"/>
        <v>366</v>
      </c>
      <c r="AN19" s="950">
        <f t="shared" si="5"/>
        <v>0</v>
      </c>
      <c r="AO19" s="950">
        <f t="shared" si="5"/>
        <v>0</v>
      </c>
      <c r="AP19" s="950">
        <f>IF(ISNUMBER(((Datos!L19/Datos!K19)*11)/factor_trimestre),((Datos!L19/Datos!K19)*11)/factor_trimestre," - ")</f>
        <v>7.4710556186152104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4.0017785682525564E-2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200.91789367798975</v>
      </c>
      <c r="AM21" s="735"/>
      <c r="AN21" s="735">
        <f>IF(ISNUMBER(STDEV(AN8:AN18)),STDEV(AN8:AN18),"-")</f>
        <v>0</v>
      </c>
      <c r="AO21" s="741">
        <f>IF(ISNUMBER(STDEV(AO8:AO18)),STDEV(AO8:AO18),"-")</f>
        <v>0</v>
      </c>
      <c r="AP21" s="778">
        <f>IF(ISNUMBER(STDEV(AP8:AP18)),STDEV(AP8:AP18),"-")</f>
        <v>0.31605059367906485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77+H7vJ3c/KSyf3Ie6bWT1oWc0k0zHwFmQQ0mhePtziGK6NYGTQHPksidHC8kV4drXxhvy2GX+ZTNFNUTzoMQ==" saltValue="/zrIThip/qxoFfcIXP5t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XATIVA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3wNgcxB/mBzNIZfdLfCn0ok0gGcf1rbRzYzoyFwhSqGdDQ+EVkReZfvKNLrdp+uENTuLMdy9934Uq93Mfy2d1Q==" saltValue="YQPaBpNknJZbw7r0TIR+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XATIVA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348</v>
      </c>
      <c r="E12" s="403">
        <f t="shared" si="0"/>
        <v>87</v>
      </c>
      <c r="F12" s="402">
        <f>IF(ISNUMBER(Datos!N12),Datos!N12," - ")</f>
        <v>366</v>
      </c>
      <c r="G12" s="403">
        <f t="shared" si="1"/>
        <v>91.5</v>
      </c>
      <c r="H12" s="402">
        <f>IF(ISNUMBER(Datos!O12),Datos!O12," - ")</f>
        <v>358</v>
      </c>
      <c r="I12" s="403">
        <f t="shared" si="2"/>
        <v>89.5</v>
      </c>
      <c r="BZ12" s="1185">
        <f>Datos!EZ12</f>
        <v>0</v>
      </c>
    </row>
    <row r="13" spans="1:78" ht="14.25" thickTop="1" thickBot="1">
      <c r="A13" s="847" t="str">
        <f>Datos!A13</f>
        <v>TOTAL</v>
      </c>
      <c r="B13" s="848">
        <f>Datos!AP13</f>
        <v>4</v>
      </c>
      <c r="C13" s="850">
        <f>Datos!AR13</f>
        <v>4</v>
      </c>
      <c r="D13" s="848">
        <f>SUBTOTAL(9,D9:D12)</f>
        <v>348</v>
      </c>
      <c r="E13" s="849">
        <f t="shared" si="0"/>
        <v>87</v>
      </c>
      <c r="F13" s="848">
        <f>SUBTOTAL(9,F9:F12)</f>
        <v>366</v>
      </c>
      <c r="G13" s="849">
        <f t="shared" si="1"/>
        <v>91.5</v>
      </c>
      <c r="H13" s="848">
        <f>SUBTOTAL(9,H9:H12)</f>
        <v>358</v>
      </c>
      <c r="I13" s="849">
        <f>IF(ISNUMBER(H13/B13),H13/B13," - ")</f>
        <v>89.5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123</v>
      </c>
      <c r="E16" s="403">
        <f t="shared" si="3"/>
        <v>30.75</v>
      </c>
      <c r="F16" s="402">
        <f>IF(ISNUMBER(Datos!N16),Datos!N16," - ")</f>
        <v>522</v>
      </c>
      <c r="G16" s="403">
        <f t="shared" si="4"/>
        <v>130.5</v>
      </c>
      <c r="H16" s="402">
        <f>IF(ISNUMBER(Datos!O16),Datos!O16," - ")</f>
        <v>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125</v>
      </c>
      <c r="E18" s="849">
        <f t="shared" si="3"/>
        <v>31.25</v>
      </c>
      <c r="F18" s="848">
        <f>SUBTOTAL(9,F15:F17)</f>
        <v>522</v>
      </c>
      <c r="G18" s="849">
        <f t="shared" si="4"/>
        <v>130.5</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473</v>
      </c>
      <c r="E19" s="794">
        <f>IF(ISNUMBER(D19/B19),D19/B19," - ")</f>
        <v>118.25</v>
      </c>
      <c r="F19" s="793">
        <f>SUBTOTAL(9,F8:F18)</f>
        <v>888</v>
      </c>
      <c r="G19" s="794">
        <f>IF(ISNUMBER(F19/B19),F19/B19," - ")</f>
        <v>222</v>
      </c>
      <c r="H19" s="793">
        <f>SUBTOTAL(9,H8:H18)</f>
        <v>363</v>
      </c>
      <c r="I19" s="794">
        <f>IF(ISNUMBER(H19/B19),H19/B19," - ")</f>
        <v>90.75</v>
      </c>
    </row>
    <row r="22" spans="1:78">
      <c r="A22" s="390" t="str">
        <f>Criterios!A4</f>
        <v>Fecha Informe: 17 mar. 2026</v>
      </c>
    </row>
    <row r="27" spans="1:78">
      <c r="A27" s="413"/>
    </row>
  </sheetData>
  <sheetProtection algorithmName="SHA-512" hashValue="bXBPH7M2+SrJZ5oOBqQq7+dKKrKyLw0uoErkXYGozpOKoEz7+2+KVYRnjCW5ZTIAV0ukK+CZC1dVh5N4B+JTnw==" saltValue="TRm+8Hd6iAoGmixtyE2U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XATIVA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21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304</v>
      </c>
      <c r="C12" s="433">
        <f>IF(ISNUMBER(Datos!Q12),Datos!Q12," - ")</f>
        <v>128</v>
      </c>
      <c r="D12" s="407">
        <f>IF(ISNUMBER(Datos!R12),Datos!R12," - ")</f>
        <v>4466</v>
      </c>
    </row>
    <row r="13" spans="1:4" ht="14.25" thickTop="1" thickBot="1">
      <c r="A13" s="847" t="str">
        <f>Datos!A13</f>
        <v>TOTAL</v>
      </c>
      <c r="B13" s="848">
        <f>SUBTOTAL(9,B9:B12)</f>
        <v>305</v>
      </c>
      <c r="C13" s="852">
        <f>SUBTOTAL(9,C9:C12)</f>
        <v>128</v>
      </c>
      <c r="D13" s="850">
        <f>SUBTOTAL(9,D9:D12)</f>
        <v>4487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38</v>
      </c>
      <c r="D16" s="407">
        <f>IF(ISNUMBER(Datos!R16),Datos!R16," - ")</f>
        <v>189</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41</v>
      </c>
      <c r="C18" s="852">
        <f>SUBTOTAL(9,C15:C17)</f>
        <v>38</v>
      </c>
      <c r="D18" s="850">
        <f>SUBTOTAL(9,D15:D17)</f>
        <v>191</v>
      </c>
    </row>
    <row r="19" spans="1:4" ht="16.5" customHeight="1" thickTop="1" thickBot="1">
      <c r="A19" s="792" t="str">
        <f>Datos!A19</f>
        <v>TOTAL JURISDICCIONES</v>
      </c>
      <c r="B19" s="797">
        <f>SUBTOTAL(9,B8:B18)</f>
        <v>346</v>
      </c>
      <c r="C19" s="798">
        <f>SUBTOTAL(9,C8:C18)</f>
        <v>166</v>
      </c>
      <c r="D19" s="799">
        <f>SUBTOTAL(9,D8:D18)</f>
        <v>4678</v>
      </c>
    </row>
    <row r="20" spans="1:4" ht="7.5" customHeight="1"/>
    <row r="21" spans="1:4" ht="6" customHeight="1"/>
    <row r="22" spans="1:4">
      <c r="A22" s="390" t="str">
        <f>Criterios!A4</f>
        <v>Fecha Informe: 17 mar. 2026</v>
      </c>
    </row>
    <row r="27" spans="1:4">
      <c r="A27" s="413"/>
    </row>
  </sheetData>
  <sheetProtection algorithmName="SHA-512" hashValue="wZGQSE27Y9E/++zPJWBv4RMIr/9s8PJRaJ3uHt7Oo8zcihhyMNRhzMaYn3if1AfGXHTKKz9rzHY+Hvph3itgMg==" saltValue="+jU5Uc3cwHbRPVQCVAJR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XATIVA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9.0909090909090912E-2</v>
      </c>
      <c r="C10" s="455">
        <f>IF(ISNUMBER((Datos!J10-Datos!T10)/Datos!T10),(Datos!J10-Datos!T10)/Datos!T10," - ")</f>
        <v>-1</v>
      </c>
      <c r="D10" s="455">
        <f>IF(ISNUMBER((Datos!K10-Datos!U10)/Datos!U10),(Datos!K10-Datos!U10)/Datos!U10," - ")</f>
        <v>-1</v>
      </c>
      <c r="E10" s="455">
        <f>IF(ISNUMBER((Datos!L10-Datos!V10)/Datos!V10),(Datos!L10-Datos!V10)/Datos!V10," - ")</f>
        <v>-7.6923076923076927E-2</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0.23937677053824363</v>
      </c>
      <c r="C12" s="455">
        <f>IF(ISNUMBER(
   IF(J_V="SI",(Datos!J12-Datos!T12)/Datos!T12,(Datos!J12+Datos!Z12-(Datos!T12+Datos!AH12))/(Datos!T12+Datos!AH12))
     ),IF(J_V="SI",(Datos!J12-Datos!T12)/Datos!T12,(Datos!J12+Datos!Z12-(Datos!T12+Datos!AH12))/(Datos!T12+Datos!AH12))," - ")</f>
        <v>-0.2</v>
      </c>
      <c r="D12" s="455">
        <f>IF(ISNUMBER(
   IF(J_V="SI",(Datos!K12-Datos!U12)/Datos!U12,(Datos!K12+Datos!AA12-(Datos!U12+Datos!AI12))/(Datos!U12+Datos!AI12))
     ),IF(J_V="SI",(Datos!K12-Datos!U12)/Datos!U12,(Datos!K12+Datos!AA12-(Datos!U12+Datos!AI12))/(Datos!U12+Datos!AI12))," - ")</f>
        <v>0.2988929889298893</v>
      </c>
      <c r="E12" s="455">
        <f>IF(ISNUMBER(
   IF(J_V="SI",(Datos!L12-Datos!V12)/Datos!V12,(Datos!L12+Datos!AB12-(Datos!V12+Datos!AJ12))/(Datos!V12+Datos!AJ12))
     ),IF(J_V="SI",(Datos!L12-Datos!V12)/Datos!V12,(Datos!L12+Datos!AB12-(Datos!V12+Datos!AJ12))/(Datos!V12+Datos!AJ12))," - ")</f>
        <v>2.0502092050209204E-2</v>
      </c>
      <c r="F12" s="455">
        <f>IF(ISNUMBER((Datos!M12-Datos!W12)/Datos!W12),(Datos!M12-Datos!W12)/Datos!W12," - ")</f>
        <v>0.96610169491525422</v>
      </c>
      <c r="G12" s="456">
        <f>IF(ISNUMBER((Datos!N12-Datos!X12)/Datos!X12),(Datos!N12-Datos!X12)/Datos!X12," - ")</f>
        <v>0.13312693498452013</v>
      </c>
      <c r="H12" s="454">
        <f>IF(ISNUMBER(((NºAsuntos!G12/NºAsuntos!E12)-Datos!BD12)/Datos!BD12),((NºAsuntos!G12/NºAsuntos!E12)-Datos!BD12)/Datos!BD12," - ")</f>
        <v>0.62361623616236161</v>
      </c>
      <c r="I12" s="455">
        <f>IF(ISNUMBER(((NºAsuntos!I12/NºAsuntos!G12)-Datos!BE12)/Datos!BE12),((NºAsuntos!I12/NºAsuntos!G12)-Datos!BE12)/Datos!BE12," - ")</f>
        <v>-0.21432935526816288</v>
      </c>
      <c r="J12" s="460">
        <f>IF(ISNUMBER((('Resol  Asuntos'!D12/NºAsuntos!G12)-Datos!BF12)/Datos!BF12),(('Resol  Asuntos'!D12/NºAsuntos!G12)-Datos!BF12)/Datos!BF12," - ")</f>
        <v>-0.17052490852800456</v>
      </c>
      <c r="K12" s="461">
        <f>IF(ISNUMBER((((NºAsuntos!C12+NºAsuntos!E12)/NºAsuntos!G12)-Datos!BG12)/Datos!BG12),(((NºAsuntos!C12+NºAsuntos!E12)/NºAsuntos!G12)-Datos!BG12)/Datos!BG12," - ")</f>
        <v>-0.16040803366162412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0.23860967590418036</v>
      </c>
      <c r="C13" s="854">
        <f>IF(ISNUMBER(
   IF(J_V="SI",(Datos!J13-Datos!T13)/Datos!T13,(Datos!J13+Datos!Z13-(Datos!T13+Datos!AH13))/(Datos!T13+Datos!AH13))
     ),IF(J_V="SI",(Datos!J13-Datos!T13)/Datos!T13,(Datos!J13+Datos!Z13-(Datos!T13+Datos!AH13))/(Datos!T13+Datos!AH13))," - ")</f>
        <v>-0.20293847566574838</v>
      </c>
      <c r="D13" s="854">
        <f>IF(ISNUMBER(
   IF(J_V="SI",(Datos!K13-Datos!U13)/Datos!U13,(Datos!K13+Datos!AA13-(Datos!U13+Datos!AI13))/(Datos!U13+Datos!AI13))
     ),IF(J_V="SI",(Datos!K13-Datos!U13)/Datos!U13,(Datos!K13+Datos!AA13-(Datos!U13+Datos!AI13))/(Datos!U13+Datos!AI13))," - ")</f>
        <v>0.29570552147239265</v>
      </c>
      <c r="E13" s="854">
        <f>IF(ISNUMBER(
   IF(J_V="SI",(Datos!L13-Datos!V13)/Datos!V13,(Datos!L13+Datos!AB13-(Datos!V13+Datos!AJ13))/(Datos!V13+Datos!AJ13))
     ),IF(J_V="SI",(Datos!L13-Datos!V13)/Datos!V13,(Datos!L13+Datos!AB13-(Datos!V13+Datos!AJ13))/(Datos!V13+Datos!AJ13))," - ")</f>
        <v>1.9975031210986267E-2</v>
      </c>
      <c r="F13" s="855">
        <f>IF(ISNUMBER((Datos!M13-Datos!W13)/Datos!W13),(Datos!M13-Datos!W13)/Datos!W13," - ")</f>
        <v>0.94413407821229045</v>
      </c>
      <c r="G13" s="856">
        <f>IF(ISNUMBER((Datos!N13-Datos!X13)/Datos!X13),(Datos!N13-Datos!X13)/Datos!X13," - ")</f>
        <v>0.13312693498452013</v>
      </c>
      <c r="H13" s="856">
        <f>IF(ISNUMBER(((NºAsuntos!G13/NºAsuntos!E13)-Datos!BD13)/Datos!BD13),((NºAsuntos!G13/NºAsuntos!E13)-Datos!BD13)/Datos!BD13," - ")</f>
        <v>0.62560289502699962</v>
      </c>
      <c r="I13" s="856">
        <f>IF(ISNUMBER(((NºAsuntos!I13/NºAsuntos!G13)-Datos!BE13)/Datos!BE13),((NºAsuntos!I13/NºAsuntos!G13)-Datos!BE13)/Datos!BE13," - ")</f>
        <v>-0.21280336132864225</v>
      </c>
      <c r="J13" s="856">
        <f>IF(ISNUMBER((('Resol  Asuntos'!D13/NºAsuntos!G13)-Datos!BF13)/Datos!BF13),(('Resol  Asuntos'!D13/NºAsuntos!G13)-Datos!BF13)/Datos!BF13," - ")</f>
        <v>-0.17360139860139859</v>
      </c>
      <c r="K13" s="856">
        <f>IF(ISNUMBER((((NºAsuntos!C13+NºAsuntos!E13)/NºAsuntos!G13)-Datos!BG13)/Datos!BG13),(((NºAsuntos!C13+NºAsuntos!E13)/NºAsuntos!G13)-Datos!BG13)/Datos!BG13," - ")</f>
        <v>-0.15938783029173015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0.10042865890998164</v>
      </c>
      <c r="C16" s="455">
        <f>IF(ISNUMBER(
   IF(D_I="SI",(Datos!J16-Datos!T16)/Datos!T16,(Datos!J16+Datos!AD16-(Datos!T16+Datos!AL16))/(Datos!T16+Datos!AL16))
     ),IF(D_I="SI",(Datos!J16-Datos!T16)/Datos!T16,(Datos!J16+Datos!AD16-(Datos!T16+Datos!AL16))/(Datos!T16+Datos!AL16))," - ")</f>
        <v>0.34402654867256638</v>
      </c>
      <c r="D16" s="455">
        <f>IF(ISNUMBER(
   IF(D_I="SI",(Datos!K16-Datos!U16)/Datos!U16,(Datos!K16+Datos!AE16-(Datos!U16+Datos!AM16))/(Datos!U16+Datos!AM16))
     ),IF(D_I="SI",(Datos!K16-Datos!U16)/Datos!U16,(Datos!K16+Datos!AE16-(Datos!U16+Datos!AM16))/(Datos!U16+Datos!AM16))," - ")</f>
        <v>-5.3435114503816793E-2</v>
      </c>
      <c r="E16" s="455">
        <f>IF(ISNUMBER(
   IF(D_I="SI",(Datos!L16-Datos!V16)/Datos!V16,(Datos!L16+Datos!AF16-(Datos!V16+Datos!AN16))/(Datos!V16+Datos!AN16))
     ),IF(D_I="SI",(Datos!L16-Datos!V16)/Datos!V16,(Datos!L16+Datos!AF16-(Datos!V16+Datos!AN16))/(Datos!V16+Datos!AN16))," - ")</f>
        <v>0.32345679012345679</v>
      </c>
      <c r="F16" s="455">
        <f>IF(ISNUMBER((Datos!M16-Datos!W16)/Datos!W16),(Datos!M16-Datos!W16)/Datos!W16," - ")</f>
        <v>-0.29310344827586204</v>
      </c>
      <c r="G16" s="456">
        <f>IF(ISNUMBER((Datos!N16-Datos!X16)/Datos!X16),(Datos!N16-Datos!X16)/Datos!X16," - ")</f>
        <v>-3.8167938931297708E-3</v>
      </c>
      <c r="H16" s="454">
        <f>IF(ISNUMBER(((NºAsuntos!G16/NºAsuntos!E16)-Datos!BD16)/Datos!BD16),((NºAsuntos!G16/NºAsuntos!E16)-Datos!BD16)/Datos!BD16," - ")</f>
        <v>-0.29572456256086455</v>
      </c>
      <c r="I16" s="455">
        <f>IF(ISNUMBER(((NºAsuntos!I16/NºAsuntos!G16)-Datos!BE16)/Datos!BE16),((NºAsuntos!I16/NºAsuntos!G16)-Datos!BE16)/Datos!BE16," - ")</f>
        <v>0.398168060533652</v>
      </c>
      <c r="J16" s="460">
        <f>IF(ISNUMBER((('Resol  Asuntos'!D16/NºAsuntos!G16)-Datos!BF16)/Datos!BF16),(('Resol  Asuntos'!D16/NºAsuntos!G16)-Datos!BF16)/Datos!BF16," - ")</f>
        <v>-0.25319799777530588</v>
      </c>
      <c r="K16" s="461">
        <f>IF(ISNUMBER((((NºAsuntos!C16+NºAsuntos!E16)/NºAsuntos!G16)-Datos!BG16)/Datos!BG16),(((NºAsuntos!C16+NºAsuntos!E16)/NºAsuntos!G16)-Datos!BG16)/Datos!BG16," - ")</f>
        <v>0.25425000317876084</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-0.52173913043478259</v>
      </c>
      <c r="C17" s="455">
        <f>IF(ISNUMBER(
   IF(D_I="SI",(Datos!J17-Datos!T17)/Datos!T17,(Datos!J17+Datos!AD17-(Datos!T17+Datos!AL17))/(Datos!T17+Datos!AL17))
     ),IF(D_I="SI",(Datos!J17-Datos!T17)/Datos!T17,(Datos!J17+Datos!AD17-(Datos!T17+Datos!AL17))/(Datos!T17+Datos!AL17))," - ")</f>
        <v>-1</v>
      </c>
      <c r="D17" s="455">
        <f>IF(ISNUMBER(
   IF(D_I="SI",(Datos!K17-Datos!U17)/Datos!U17,(Datos!K17+Datos!AE17-(Datos!U17+Datos!AM17))/(Datos!U17+Datos!AM17))
     ),IF(D_I="SI",(Datos!K17-Datos!U17)/Datos!U17,(Datos!K17+Datos!AE17-(Datos!U17+Datos!AM17))/(Datos!U17+Datos!AM17))," - ")</f>
        <v>-0.81818181818181823</v>
      </c>
      <c r="E17" s="455">
        <f>IF(ISNUMBER(
   IF(D_I="SI",(Datos!L17-Datos!V17)/Datos!V17,(Datos!L17+Datos!AF17-(Datos!V17+Datos!AN17))/(Datos!V17+Datos!AN17))
     ),IF(D_I="SI",(Datos!L17-Datos!V17)/Datos!V17,(Datos!L17+Datos!AF17-(Datos!V17+Datos!AN17))/(Datos!V17+Datos!AN17))," - ")</f>
        <v>-0.5</v>
      </c>
      <c r="F17" s="455" t="str">
        <f>IF(ISNUMBER((Datos!M17-Datos!W17)/Datos!W17),(Datos!M17-Datos!W17)/Datos!W17," - ")</f>
        <v xml:space="preserve"> - </v>
      </c>
      <c r="G17" s="456">
        <f>IF(ISNUMBER((Datos!N17-Datos!X17)/Datos!X17),(Datos!N17-Datos!X17)/Datos!X17," - ")</f>
        <v>-1</v>
      </c>
      <c r="H17" s="454" t="str">
        <f>IF(ISNUMBER(((NºAsuntos!G17/NºAsuntos!E17)-Datos!BD17)/Datos!BD17),((NºAsuntos!G17/NºAsuntos!E17)-Datos!BD17)/Datos!BD17," - ")</f>
        <v xml:space="preserve"> - </v>
      </c>
      <c r="I17" s="455">
        <f>IF(ISNUMBER(((NºAsuntos!I17/NºAsuntos!G17)-Datos!BE17)/Datos!BE17),((NºAsuntos!I17/NºAsuntos!G17)-Datos!BE17)/Datos!BE17," - ")</f>
        <v>1.7499999999999998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1.0862068965517242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9.1787439613526575E-2</v>
      </c>
      <c r="C18" s="854">
        <f>IF(ISNUMBER(
   IF(Criterios!B14="SI",(Datos!J18-Datos!T18)/Datos!T18,(Datos!J18+Datos!AD18-(Datos!T18+Datos!AL18))/(Datos!T18+Datos!AL18))
     ),IF(Criterios!B14="SI",(Datos!J18-Datos!T18)/Datos!T18,(Datos!J18+Datos!AD18-(Datos!T18+Datos!AL18))/(Datos!T18+Datos!AL18))," - ")</f>
        <v>0.33516483516483514</v>
      </c>
      <c r="D18" s="854">
        <f>IF(ISNUMBER(
   IF(Criterios!B14="SI",(Datos!K18-Datos!U18)/Datos!U18,(Datos!K18+Datos!AE18-(Datos!U18+Datos!AM18))/(Datos!U18+Datos!AM18))
     ),IF(Criterios!B14="SI",(Datos!K18-Datos!U18)/Datos!U18,(Datos!K18+Datos!AE18-(Datos!U18+Datos!AM18))/(Datos!U18+Datos!AM18))," - ")</f>
        <v>-6.25E-2</v>
      </c>
      <c r="E18" s="854">
        <f>IF(ISNUMBER(
   IF(Criterios!B14="SI",(Datos!L18-Datos!V18)/Datos!V18,(Datos!L18+Datos!AF18-(Datos!V18+Datos!AN18))/(Datos!V18+Datos!AN18))
     ),IF(Criterios!B14="SI",(Datos!L18-Datos!V18)/Datos!V18,(Datos!L18+Datos!AF18-(Datos!V18+Datos!AN18))/(Datos!V18+Datos!AN18))," - ")</f>
        <v>0.3144078144078144</v>
      </c>
      <c r="F18" s="855">
        <f>IF(ISNUMBER((Datos!M18-Datos!W18)/Datos!W18),(Datos!M18-Datos!W18)/Datos!W18," - ")</f>
        <v>-0.28160919540229884</v>
      </c>
      <c r="G18" s="856">
        <f>IF(ISNUMBER((Datos!N18-Datos!X18)/Datos!X18),(Datos!N18-Datos!X18)/Datos!X18," - ")</f>
        <v>-1.6949152542372881E-2</v>
      </c>
      <c r="H18" s="856">
        <f>IF(ISNUMBER(((NºAsuntos!G18/NºAsuntos!E18)-Datos!BD18)/Datos!BD18),((NºAsuntos!G18/NºAsuntos!E18)-Datos!BD18)/Datos!BD18," - ")</f>
        <v>-0.2978395061728395</v>
      </c>
      <c r="I18" s="856">
        <f>IF(ISNUMBER(((NºAsuntos!I18/NºAsuntos!G18)-Datos!BE18)/Datos!BE18),((NºAsuntos!I18/NºAsuntos!G18)-Datos!BE18)/Datos!BE18," - ")</f>
        <v>0.40203500203500186</v>
      </c>
      <c r="J18" s="856">
        <f>IF(ISNUMBER((('Resol  Asuntos'!D18/NºAsuntos!G18)-Datos!BF18)/Datos!BF18),(('Resol  Asuntos'!D18/NºAsuntos!G18)-Datos!BF18)/Datos!BF18," - ")</f>
        <v>-0.2337164750957855</v>
      </c>
      <c r="K18" s="856">
        <f>IF(ISNUMBER((((NºAsuntos!C18+NºAsuntos!E18)/NºAsuntos!G18)-Datos!BG18)/Datos!BG18),(((NºAsuntos!C18+NºAsuntos!E18)/NºAsuntos!G18)-Datos!BG18)/Datos!BG18," - ")</f>
        <v>0.2566380878150169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0.17437252311756934</v>
      </c>
      <c r="C19" s="801">
        <f>IF(ISNUMBER(
   IF(J_V="SI",(Datos!J19-Datos!T19)/Datos!T19,(Datos!J19+Datos!Z19-(Datos!T19+Datos!AH19))/(Datos!T19+Datos!AH19))
     ),IF(J_V="SI",(Datos!J19-Datos!T19)/Datos!T19,(Datos!J19+Datos!Z19-(Datos!T19+Datos!AH19))/(Datos!T19+Datos!AH19))," - ")</f>
        <v>4.2021010505252629E-2</v>
      </c>
      <c r="D19" s="801">
        <f>IF(ISNUMBER(
   IF(J_V="SI",(Datos!K19-Datos!U19)/Datos!U19,(Datos!K19+Datos!AA19-(Datos!U19+Datos!AI19))/(Datos!U19+Datos!AI19))
     ),IF(J_V="SI",(Datos!K19-Datos!U19)/Datos!U19,(Datos!K19+Datos!AA19-(Datos!U19+Datos!AI19))/(Datos!U19+Datos!AI19))," - ")</f>
        <v>0.10499139414802065</v>
      </c>
      <c r="E19" s="801">
        <f>IF(ISNUMBER(
   IF(J_V="SI",(Datos!L19-Datos!V19)/Datos!V19,(Datos!L19+Datos!AB19-(Datos!V19+Datos!AJ19))/(Datos!V19+Datos!AJ19))
     ),IF(J_V="SI",(Datos!L19-Datos!V19)/Datos!V19,(Datos!L19+Datos!AB19-(Datos!V19+Datos!AJ19))/(Datos!V19+Datos!AJ19))," - ")</f>
        <v>0.13932195001237319</v>
      </c>
      <c r="F19" s="802">
        <f>IF(ISNUMBER((Datos!M19-Datos!W19)/Datos!W19),(Datos!M19-Datos!W19)/Datos!W19," - ")</f>
        <v>0.33994334277620397</v>
      </c>
      <c r="G19" s="803">
        <f>IF(ISNUMBER((Datos!N19-Datos!X19)/Datos!X19),(Datos!N19-Datos!X19)/Datos!X19," - ")</f>
        <v>3.9812646370023422E-2</v>
      </c>
      <c r="H19" s="804">
        <f>IF(ISNUMBER((Tasas!B19-Datos!BD19)/Datos!BD19),(Tasas!B19-Datos!BD19)/Datos!BD19," - ")</f>
        <v>6.0431011474744729E-2</v>
      </c>
      <c r="I19" s="805">
        <f>IF(ISNUMBER((Tasas!C19-Datos!BE19)/Datos!BE19),(Tasas!C19-Datos!BE19)/Datos!BE19," - ")</f>
        <v>3.1068618313378104E-2</v>
      </c>
      <c r="J19" s="806">
        <f>IF(ISNUMBER((Tasas!D19-Datos!BF19)/Datos!BF19),(Tasas!D19-Datos!BF19)/Datos!BF19," - ")</f>
        <v>-0.14216907334919054</v>
      </c>
      <c r="K19" s="806">
        <f>IF(ISNUMBER((Tasas!E19-Datos!BG19)/Datos!BG19),(Tasas!E19-Datos!BG19)/Datos!BG19," - ")</f>
        <v>2.1393208464213168E-2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dX//nAnr1zmZwIrbniX4BtFuTOxcq+6c1uLByvTVedM20PSVRk1+FRxOl+2OL2wBMAzUrapZAT+aZWswPRDuA==" saltValue="oXZxpbcAULwZ5H6YZlRQ1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XATIVA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1.2165898617511521</v>
      </c>
      <c r="C12" s="442">
        <f>IF(ISNUMBER(NºAsuntos!I12/NºAsuntos!G12),NºAsuntos!I12/NºAsuntos!G12," - ")</f>
        <v>2.3096590909090908</v>
      </c>
      <c r="D12" s="443">
        <f>IF(ISNUMBER('Resol  Asuntos'!D12/NºAsuntos!G12),'Resol  Asuntos'!D12/NºAsuntos!G12," - ")</f>
        <v>0.32954545454545453</v>
      </c>
      <c r="E12" s="444">
        <f>IF(ISNUMBER((NºAsuntos!C12+NºAsuntos!E12)/NºAsuntos!G12),(NºAsuntos!C12+NºAsuntos!E12)/NºAsuntos!G12," - ")</f>
        <v>3.3077651515151514</v>
      </c>
      <c r="G12" s="462"/>
    </row>
    <row r="13" spans="1:7" ht="14.25" thickTop="1" thickBot="1">
      <c r="A13" s="847" t="str">
        <f>Datos!A13</f>
        <v>TOTAL</v>
      </c>
      <c r="B13" s="857">
        <f>IF(ISNUMBER(NºAsuntos!G13/NºAsuntos!E13),NºAsuntos!G13/NºAsuntos!E13," - ")</f>
        <v>1.2165898617511521</v>
      </c>
      <c r="C13" s="858">
        <f>IF(ISNUMBER(NºAsuntos!I13/NºAsuntos!G13),NºAsuntos!I13/NºAsuntos!G13," - ")</f>
        <v>2.3210227272727271</v>
      </c>
      <c r="D13" s="859">
        <f>IF(ISNUMBER('Resol  Asuntos'!D13/NºAsuntos!G13),'Resol  Asuntos'!D13/NºAsuntos!G13," - ")</f>
        <v>0.32954545454545453</v>
      </c>
      <c r="E13" s="860">
        <f>IF(ISNUMBER((NºAsuntos!C13+NºAsuntos!E13)/NºAsuntos!G13),(NºAsuntos!C13+NºAsuntos!E13)/NºAsuntos!G13," - ")</f>
        <v>3.3191287878787881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0.7144032921810699</v>
      </c>
      <c r="C16" s="442">
        <f>IF(ISNUMBER(NºAsuntos!I16/NºAsuntos!G16),NºAsuntos!I16/NºAsuntos!G16," - ")</f>
        <v>2.4700460829493087</v>
      </c>
      <c r="D16" s="443">
        <f>IF(ISNUMBER('Resol  Asuntos'!D16/NºAsuntos!G16),'Resol  Asuntos'!D16/NºAsuntos!G16," - ")</f>
        <v>0.14170506912442396</v>
      </c>
      <c r="E16" s="444">
        <f>IF(ISNUMBER((NºAsuntos!C16+NºAsuntos!E16)/NºAsuntos!G16),(NºAsuntos!C16+NºAsuntos!E16)/NºAsuntos!G16," - ")</f>
        <v>3.4700460829493087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4.5</v>
      </c>
      <c r="D17" s="443">
        <f>IF(ISNUMBER('Resol  Asuntos'!D17/NºAsuntos!G17),'Resol  Asuntos'!D17/NºAsuntos!G17," - ")</f>
        <v>1</v>
      </c>
      <c r="E17" s="444">
        <f>IF(ISNUMBER((NºAsuntos!C17+NºAsuntos!E17)/NºAsuntos!G17),(NºAsuntos!C17+NºAsuntos!E17)/NºAsuntos!G17," - ")</f>
        <v>5.5</v>
      </c>
      <c r="G17" s="462"/>
    </row>
    <row r="18" spans="1:7" ht="14.25" thickTop="1" thickBot="1">
      <c r="A18" s="847" t="str">
        <f>Datos!A18</f>
        <v>TOTAL</v>
      </c>
      <c r="B18" s="857">
        <f>IF(ISNUMBER(NºAsuntos!G18/NºAsuntos!E18),NºAsuntos!G18/NºAsuntos!E18," - ")</f>
        <v>0.71604938271604934</v>
      </c>
      <c r="C18" s="858">
        <f>IF(ISNUMBER(NºAsuntos!I18/NºAsuntos!G18),NºAsuntos!I18/NºAsuntos!G18," - ")</f>
        <v>2.4747126436781608</v>
      </c>
      <c r="D18" s="861">
        <f>IF(ISNUMBER('Resol  Asuntos'!D18/NºAsuntos!G18),'Resol  Asuntos'!D18/NºAsuntos!G18," - ")</f>
        <v>0.14367816091954022</v>
      </c>
      <c r="E18" s="860">
        <f>IF(ISNUMBER((NºAsuntos!C18+NºAsuntos!E18)/NºAsuntos!G18),(NºAsuntos!C18+NºAsuntos!E18)/NºAsuntos!G18," - ")</f>
        <v>3.4747126436781608</v>
      </c>
      <c r="G18" s="462"/>
    </row>
    <row r="19" spans="1:7" ht="15.75" customHeight="1" thickTop="1" thickBot="1">
      <c r="A19" s="792" t="str">
        <f>Datos!A19</f>
        <v>TOTAL JURISDICCIONES</v>
      </c>
      <c r="B19" s="807">
        <f>IF(ISNUMBER(NºAsuntos!G19/NºAsuntos!E19),NºAsuntos!G19/NºAsuntos!E19," - ")</f>
        <v>0.92462794047047525</v>
      </c>
      <c r="C19" s="808">
        <f>IF(ISNUMBER(NºAsuntos!I19/NºAsuntos!G19),NºAsuntos!I19/NºAsuntos!G19," - ")</f>
        <v>2.3904465212876427</v>
      </c>
      <c r="D19" s="809">
        <f>IF(ISNUMBER('Resol  Asuntos'!D19/NºAsuntos!G19),'Resol  Asuntos'!D19/NºAsuntos!G19," - ")</f>
        <v>0.24558670820353062</v>
      </c>
      <c r="E19" s="810">
        <f>IF(ISNUMBER((NºAsuntos!C19+NºAsuntos!E19)/NºAsuntos!G19),(NºAsuntos!C19+NºAsuntos!E19)/NºAsuntos!G19," - ")</f>
        <v>3.3894080996884735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fpJXoIDwhQzD1l+3RavK1NC3MPDu+bie+6QZSoNhNWVELVX29BCkJW9x65NTfJ6UGgV7CSSF4kT6CNeVs3HSQ==" saltValue="qCVfFdzCtkWM18XSkk18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XATIVA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12</v>
      </c>
      <c r="AB10" s="333">
        <f>IF(ISNUMBER(Datos!R10),Datos!R10," - ")</f>
        <v>21</v>
      </c>
      <c r="AC10" s="333">
        <f t="shared" ref="AC10:AC12" si="1">IF(ISNUMBER(AA10+AB10),AA10+AB10," - ")</f>
        <v>33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128</v>
      </c>
      <c r="Y12" s="333">
        <f t="shared" si="0"/>
        <v>128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348</v>
      </c>
      <c r="AJ12" s="228" t="str">
        <f>IF(ISNUMBER(Datos!BW12),Datos!BW12," - ")</f>
        <v xml:space="preserve"> - </v>
      </c>
      <c r="AK12" s="227" t="str">
        <f>IF(ISNUMBER(Datos!BX12),Datos!BX12," - ")</f>
        <v xml:space="preserve"> - </v>
      </c>
      <c r="AL12" s="242">
        <f>IF(ISNUMBER(NºAsuntos!G12/NºAsuntos!E12),NºAsuntos!G12/NºAsuntos!E12," - ")</f>
        <v>1.2165898617511521</v>
      </c>
      <c r="AM12" s="259">
        <f>IF(ISNUMBER(((NºAsuntos!I12/NºAsuntos!G12)*11)/factor_trimestre),((NºAsuntos!I12/NºAsuntos!G12)*11)/factor_trimestre," - ")</f>
        <v>6.9289772727272734</v>
      </c>
      <c r="AN12" s="243">
        <f>IF(ISNUMBER('Resol  Asuntos'!D12/NºAsuntos!G12),'Resol  Asuntos'!D12/NºAsuntos!G12," - ")</f>
        <v>0.32954545454545453</v>
      </c>
      <c r="AO12" s="244">
        <f>IF(ISNUMBER((NºAsuntos!C12+NºAsuntos!E12)/NºAsuntos!G12),(NºAsuntos!C12+NºAsuntos!E12)/NºAsuntos!G12," - ")</f>
        <v>3.3077651515151514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12</v>
      </c>
      <c r="G13" s="865">
        <f t="shared" si="3"/>
        <v>12</v>
      </c>
      <c r="H13" s="864">
        <f t="shared" si="3"/>
        <v>0</v>
      </c>
      <c r="I13" s="866">
        <f t="shared" si="3"/>
        <v>0</v>
      </c>
      <c r="J13" s="866">
        <f t="shared" si="3"/>
        <v>0</v>
      </c>
      <c r="K13" s="866">
        <f t="shared" si="3"/>
        <v>0</v>
      </c>
      <c r="L13" s="866">
        <f t="shared" si="3"/>
        <v>305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128</v>
      </c>
      <c r="Y13" s="867">
        <f t="shared" si="4"/>
        <v>128</v>
      </c>
      <c r="Z13" s="867">
        <f t="shared" si="4"/>
        <v>0</v>
      </c>
      <c r="AA13" s="867">
        <f t="shared" si="4"/>
        <v>12</v>
      </c>
      <c r="AB13" s="867">
        <f t="shared" si="4"/>
        <v>4487</v>
      </c>
      <c r="AC13" s="867">
        <f t="shared" si="4"/>
        <v>33</v>
      </c>
      <c r="AD13" s="867">
        <f t="shared" si="4"/>
        <v>0</v>
      </c>
      <c r="AE13" s="871">
        <f t="shared" si="4"/>
        <v>0</v>
      </c>
      <c r="AF13" s="864">
        <f t="shared" si="4"/>
        <v>0</v>
      </c>
      <c r="AG13" s="872">
        <f t="shared" si="4"/>
        <v>0</v>
      </c>
      <c r="AH13" s="869">
        <f t="shared" si="4"/>
        <v>0</v>
      </c>
      <c r="AI13" s="864">
        <f t="shared" si="4"/>
        <v>348</v>
      </c>
      <c r="AJ13" s="866">
        <f t="shared" si="4"/>
        <v>0</v>
      </c>
      <c r="AK13" s="869">
        <f>SUBTOTAL(9,AK9:AK12)</f>
        <v>0</v>
      </c>
      <c r="AL13" s="873">
        <f>IF(ISNUMBER(NºAsuntos!G13/NºAsuntos!E13),NºAsuntos!G13/NºAsuntos!E13," - ")</f>
        <v>1.2165898617511521</v>
      </c>
      <c r="AM13" s="873">
        <f>IF(ISNUMBER(((NºAsuntos!I13/NºAsuntos!G13)*11)/factor_trimestre),((NºAsuntos!I13/NºAsuntos!G13)*11)/factor_trimestre," - ")</f>
        <v>6.9630681818181808</v>
      </c>
      <c r="AN13" s="874">
        <f>IF(ISNUMBER('Resol  Asuntos'!D13/NºAsuntos!G13),'Resol  Asuntos'!D13/NºAsuntos!G13," - ")</f>
        <v>0.32954545454545453</v>
      </c>
      <c r="AO13" s="875">
        <f>IF(ISNUMBER((NºAsuntos!C13+NºAsuntos!E13)/NºAsuntos!G13),(NºAsuntos!C13+NºAsuntos!E13)/NºAsuntos!G13," - ")</f>
        <v>3.3191287878787881</v>
      </c>
      <c r="AP13" s="876" t="str">
        <f t="shared" si="2"/>
        <v xml:space="preserve"> - </v>
      </c>
      <c r="AQ13" s="876">
        <f>IF(ISNUMBER((H13-W13+K13)/(F13)),(H13-W13+K13)/(F13)," - ")</f>
        <v>0</v>
      </c>
      <c r="AR13" s="877">
        <f>IF(ISNUMBER((Datos!P13-Datos!Q13)/(Datos!R13-Datos!P13+Datos!Q13)),(Datos!P13-Datos!Q13)/(Datos!R13-Datos!P13+Datos!Q13)," - ")</f>
        <v>4.1067285382830623E-2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1797</v>
      </c>
      <c r="G16" s="332">
        <f>IF(ISNUMBER(IF(D_I="SI",Datos!I16,Datos!I16+Datos!AC16)),IF(D_I="SI",Datos!I16,Datos!I16+Datos!AC16)," - ")</f>
        <v>1797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868</v>
      </c>
      <c r="X16" s="225">
        <f>IF(ISNUMBER(Datos!Q16),Datos!Q16," - ")</f>
        <v>38</v>
      </c>
      <c r="Y16" s="333">
        <f t="shared" ref="Y16:Y17" si="7">SUM(W16:X16)</f>
        <v>906</v>
      </c>
      <c r="Z16" s="334" t="str">
        <f>IF(ISNUMBER(Datos!CC16),Datos!CC16," - ")</f>
        <v xml:space="preserve"> - </v>
      </c>
      <c r="AA16" s="331">
        <f>IF(ISNUMBER(IF(D_I="SI",Datos!L16,Datos!L16+Datos!AF16)),IF(D_I="SI",Datos!L16,Datos!L16+Datos!AF16)," - ")</f>
        <v>2144</v>
      </c>
      <c r="AB16" s="333">
        <f>IF(ISNUMBER(Datos!R16),Datos!R16," - ")</f>
        <v>189</v>
      </c>
      <c r="AC16" s="333">
        <f t="shared" si="6"/>
        <v>2333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123</v>
      </c>
      <c r="AJ16" s="230" t="str">
        <f>IF(ISNUMBER(Datos!BW16),Datos!BW16," - ")</f>
        <v xml:space="preserve"> - </v>
      </c>
      <c r="AK16" s="231" t="str">
        <f>IF(ISNUMBER(Datos!BX16),Datos!BX16," - ")</f>
        <v xml:space="preserve"> - </v>
      </c>
      <c r="AL16" s="242">
        <f>IF(ISNUMBER(NºAsuntos!G16/NºAsuntos!E16),NºAsuntos!G16/NºAsuntos!E16," - ")</f>
        <v>0.7144032921810699</v>
      </c>
      <c r="AM16" s="259">
        <f>IF(ISNUMBER(((NºAsuntos!I16/NºAsuntos!G16)*11)/factor_trimestre),((NºAsuntos!I16/NºAsuntos!G16)*11)/factor_trimestre," - ")</f>
        <v>7.4101382488479262</v>
      </c>
      <c r="AN16" s="243">
        <f>IF(ISNUMBER('Resol  Asuntos'!D16/NºAsuntos!G16),'Resol  Asuntos'!D16/NºAsuntos!G16," - ")</f>
        <v>0.14170506912442396</v>
      </c>
      <c r="AO16" s="244">
        <f>IF(ISNUMBER((NºAsuntos!C16+NºAsuntos!E16)/NºAsuntos!G16),(NºAsuntos!C16+NºAsuntos!E16)/NºAsuntos!G16," - ")</f>
        <v>3.4700460829493087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v>
      </c>
      <c r="X17" s="225">
        <f>IF(ISNUMBER(Datos!Q17),Datos!Q17," - ")</f>
        <v>0</v>
      </c>
      <c r="Y17" s="333">
        <f t="shared" si="7"/>
        <v>2</v>
      </c>
      <c r="Z17" s="334" t="str">
        <f>IF(ISNUMBER(Datos!CC17),Datos!CC17," - ")</f>
        <v xml:space="preserve"> - </v>
      </c>
      <c r="AA17" s="331">
        <f>IF(ISNUMBER(Datos!L17),Datos!L17,"-")</f>
        <v>9</v>
      </c>
      <c r="AB17" s="333">
        <f>IF(ISNUMBER(Datos!R17),Datos!R17," - ")</f>
        <v>2</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13.5</v>
      </c>
      <c r="AN17" s="243">
        <f>IF(ISNUMBER('Resol  Asuntos'!D17/NºAsuntos!G17),'Resol  Asuntos'!D17/NºAsuntos!G17," - ")</f>
        <v>1</v>
      </c>
      <c r="AO17" s="244">
        <f>IF(ISNUMBER((NºAsuntos!C17+NºAsuntos!E17)/NºAsuntos!G17),(NºAsuntos!C17+NºAsuntos!E17)/NºAsuntos!G17," - ")</f>
        <v>5.5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1797</v>
      </c>
      <c r="G18" s="865">
        <f>SUBTOTAL(9,G15:G17)</f>
        <v>1808</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870</v>
      </c>
      <c r="X18" s="866">
        <f t="shared" si="11"/>
        <v>38</v>
      </c>
      <c r="Y18" s="867">
        <f t="shared" si="11"/>
        <v>908</v>
      </c>
      <c r="Z18" s="867">
        <f t="shared" si="11"/>
        <v>0</v>
      </c>
      <c r="AA18" s="867">
        <f t="shared" si="11"/>
        <v>2153</v>
      </c>
      <c r="AB18" s="867">
        <f t="shared" si="11"/>
        <v>191</v>
      </c>
      <c r="AC18" s="867">
        <f t="shared" si="11"/>
        <v>2344</v>
      </c>
      <c r="AD18" s="867">
        <f t="shared" si="11"/>
        <v>0</v>
      </c>
      <c r="AE18" s="871">
        <f t="shared" si="11"/>
        <v>0</v>
      </c>
      <c r="AF18" s="864">
        <f t="shared" si="11"/>
        <v>0</v>
      </c>
      <c r="AG18" s="872">
        <f t="shared" si="11"/>
        <v>0</v>
      </c>
      <c r="AH18" s="869">
        <f t="shared" si="11"/>
        <v>0</v>
      </c>
      <c r="AI18" s="864">
        <f t="shared" si="11"/>
        <v>125</v>
      </c>
      <c r="AJ18" s="866">
        <f t="shared" si="11"/>
        <v>0</v>
      </c>
      <c r="AK18" s="869">
        <f t="shared" si="11"/>
        <v>0</v>
      </c>
      <c r="AL18" s="873">
        <f>IF(ISNUMBER(NºAsuntos!G18/NºAsuntos!E18),NºAsuntos!G18/NºAsuntos!E18," - ")</f>
        <v>0.71604938271604934</v>
      </c>
      <c r="AM18" s="873">
        <f>IF(ISNUMBER(((NºAsuntos!I18/NºAsuntos!G18)*11)/factor_trimestre),((NºAsuntos!I18/NºAsuntos!G18)*11)/factor_trimestre," - ")</f>
        <v>7.4241379310344833</v>
      </c>
      <c r="AN18" s="874">
        <f>IF(ISNUMBER('Resol  Asuntos'!D18/NºAsuntos!G18),'Resol  Asuntos'!D18/NºAsuntos!G18," - ")</f>
        <v>0.14367816091954022</v>
      </c>
      <c r="AO18" s="875">
        <f>IF(ISNUMBER((NºAsuntos!C18+NºAsuntos!E18)/NºAsuntos!G18),(NºAsuntos!C18+NºAsuntos!E18)/NºAsuntos!G18," - ")</f>
        <v>3.4747126436781608</v>
      </c>
      <c r="AP18" s="876" t="str">
        <f t="shared" si="2"/>
        <v xml:space="preserve"> - </v>
      </c>
      <c r="AQ18" s="876">
        <f>IF(ISNUMBER((H18-W18+K18)/(F18)),(H18-W18+K18)/(F18)," - ")</f>
        <v>-0.48414023372287146</v>
      </c>
      <c r="AR18" s="877">
        <f>IF(ISNUMBER((Datos!P18-Datos!Q18)/(Datos!R18-Datos!P18+Datos!Q18)),(Datos!P18-Datos!Q18)/(Datos!R18-Datos!P18+Datos!Q18)," - ")</f>
        <v>1.5957446808510637E-2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1809</v>
      </c>
      <c r="G19" s="820">
        <f t="shared" si="13"/>
        <v>1820</v>
      </c>
      <c r="H19" s="819">
        <f t="shared" si="13"/>
        <v>0</v>
      </c>
      <c r="I19" s="821">
        <f t="shared" si="13"/>
        <v>0</v>
      </c>
      <c r="J19" s="821">
        <f t="shared" si="13"/>
        <v>0</v>
      </c>
      <c r="K19" s="880">
        <f t="shared" si="13"/>
        <v>0</v>
      </c>
      <c r="L19" s="821">
        <f t="shared" si="13"/>
        <v>346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870</v>
      </c>
      <c r="X19" s="820">
        <f t="shared" si="14"/>
        <v>166</v>
      </c>
      <c r="Y19" s="827">
        <f t="shared" si="14"/>
        <v>1036</v>
      </c>
      <c r="Z19" s="827">
        <f t="shared" si="14"/>
        <v>0</v>
      </c>
      <c r="AA19" s="827">
        <f t="shared" si="14"/>
        <v>2165</v>
      </c>
      <c r="AB19" s="827">
        <f t="shared" si="14"/>
        <v>4678</v>
      </c>
      <c r="AC19" s="827">
        <f t="shared" si="14"/>
        <v>2377</v>
      </c>
      <c r="AD19" s="827">
        <f t="shared" si="14"/>
        <v>0</v>
      </c>
      <c r="AE19" s="829">
        <f t="shared" si="14"/>
        <v>0</v>
      </c>
      <c r="AF19" s="830">
        <f t="shared" si="14"/>
        <v>0</v>
      </c>
      <c r="AG19" s="831">
        <f t="shared" si="14"/>
        <v>0</v>
      </c>
      <c r="AH19" s="829">
        <f t="shared" si="14"/>
        <v>0</v>
      </c>
      <c r="AI19" s="819">
        <f t="shared" si="14"/>
        <v>473</v>
      </c>
      <c r="AJ19" s="819">
        <f t="shared" si="14"/>
        <v>0</v>
      </c>
      <c r="AK19" s="829">
        <f t="shared" si="14"/>
        <v>0</v>
      </c>
      <c r="AL19" s="883">
        <f>IF(ISNUMBER(NºAsuntos!G19/NºAsuntos!E19),NºAsuntos!G19/NºAsuntos!E19," - ")</f>
        <v>0.92462794047047525</v>
      </c>
      <c r="AM19" s="884">
        <f>IF(ISNUMBER(((NºAsuntos!I19/NºAsuntos!G19)*11)/factor_trimestre),((NºAsuntos!I19/NºAsuntos!G19)*11)/factor_trimestre," - ")</f>
        <v>7.1713395638629285</v>
      </c>
      <c r="AN19" s="884">
        <f>IF(ISNUMBER('Resol  Asuntos'!D19/NºAsuntos!G19),'Resol  Asuntos'!D19/NºAsuntos!G19," - ")</f>
        <v>0.24558670820353062</v>
      </c>
      <c r="AO19" s="885">
        <f>IF(ISNUMBER((NºAsuntos!C19+NºAsuntos!E19)/NºAsuntos!G19),(NºAsuntos!C19+NºAsuntos!E19)/NºAsuntos!G19," - ")</f>
        <v>3.3894080996884735</v>
      </c>
      <c r="AP19" s="886" t="str">
        <f t="shared" si="2"/>
        <v xml:space="preserve"> - </v>
      </c>
      <c r="AQ19" s="887">
        <f>IF(OR(ISNUMBER(FIND("01",Criterios!A8,1)),ISNUMBER(FIND("02",Criterios!A8,1)),ISNUMBER(FIND("03",Criterios!A8,1)),ISNUMBER(FIND("04",Criterios!A8,1))),(I19-W19+K19)/(F19-K19),(H19-W19+K19)/(F19-K19))</f>
        <v>-0.48092868988391374</v>
      </c>
      <c r="AR19" s="888">
        <f>IF(ISNUMBER((Datos!P19-Datos!Q19)/(Datos!R19-Datos!P19+Datos!Q19)),(Datos!P19-Datos!Q19)/(Datos!R19-Datos!P19+Datos!Q19)," - ")</f>
        <v>4.0017785682525564E-2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1030.570230503482</v>
      </c>
      <c r="G21" s="252">
        <f>IF(ISNUMBER(STDEV(G8:G18)),STDEV(G8:G18),"-")</f>
        <v>980.88760824061796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475.60698060478467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157.36157938539722</v>
      </c>
      <c r="AJ21" s="251">
        <f t="shared" si="18"/>
        <v>0</v>
      </c>
      <c r="AK21" s="253">
        <f t="shared" si="18"/>
        <v>0</v>
      </c>
      <c r="AL21" s="248">
        <f t="shared" si="18"/>
        <v>0.28946314578781923</v>
      </c>
      <c r="AM21" s="249">
        <f t="shared" si="18"/>
        <v>2.8355144895527205</v>
      </c>
      <c r="AN21" s="249">
        <f t="shared" si="18"/>
        <v>0.35416388092628043</v>
      </c>
      <c r="AO21" s="250">
        <f t="shared" si="18"/>
        <v>0.94567263090355425</v>
      </c>
      <c r="AP21" s="290" t="str">
        <f t="shared" si="18"/>
        <v>-</v>
      </c>
      <c r="AQ21" s="291">
        <f t="shared" si="18"/>
        <v>0.34233884231068246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BE1+tVSN6GFzmCNlU6LlvnRlSZkycD7MSenlOzVhibwbK7f6NcfSmSJwAsitGi+qUHTdW4fXgjyxAIWG6Un9pg==" saltValue="PHZRhrHioeW9+sJX2QiI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XATIVA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9.0909090909090912E-2</v>
      </c>
      <c r="E10" s="347">
        <f>IF(ISNUMBER((Datos!J10-Datos!T10)/Datos!T10),(Datos!J10-Datos!T10)/Datos!T10," - ")</f>
        <v>-1</v>
      </c>
      <c r="F10" s="347">
        <f>IF(ISNUMBER((Datos!K10-Datos!U10)/Datos!U10),(Datos!K10-Datos!U10)/Datos!U10," - ")</f>
        <v>-1</v>
      </c>
      <c r="G10" s="348">
        <f>IF(ISNUMBER((Datos!L10-Datos!V10)/Datos!V10),(Datos!L10-Datos!V10)/Datos!V10," - ")</f>
        <v>-7.6923076923076927E-2</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0.96610169491525422</v>
      </c>
      <c r="I12" s="349">
        <f>IF(ISNUMBER((Tasas!C12-Datos!BE12)/Datos!BE12),(Tasas!C12-Datos!BE12)/Datos!BE12," - ")</f>
        <v>-0.21432935526816288</v>
      </c>
      <c r="J12" s="348">
        <f>IF(ISNUMBER((Tasas!D12-Datos!BF12)/Datos!BF12),(Tasas!D12-Datos!BF12)/Datos!BF12," - ")</f>
        <v>-0.17052490852800456</v>
      </c>
      <c r="K12" s="350">
        <f>IF(ISNUMBER((Tasas!E12-Datos!BG12)/Datos!BG12),(Tasas!E12-Datos!BG12)/Datos!BG12," - ")</f>
        <v>-0.16040803366162412</v>
      </c>
      <c r="M12" t="e">
        <f>IF(Monitorios="SI",Datos!CE12,0)</f>
        <v>#REF!</v>
      </c>
      <c r="N12" t="e">
        <f>IF(Monitorios="SI",Datos!CF12,0)</f>
        <v>#REF!</v>
      </c>
      <c r="O12" t="e">
        <f>IF(Monitorios="SI",Datos!CG12,0)</f>
        <v>#REF!</v>
      </c>
      <c r="P12" t="e">
        <f>IF(Monitorios="SI",Datos!CH12,0)</f>
        <v>#REF!</v>
      </c>
      <c r="Q12">
        <f>IF(J_V="SI",0,Datos!AG12)</f>
        <v>145</v>
      </c>
      <c r="R12">
        <f>IF(J_V="SI",0,Datos!AH12)</f>
        <v>138</v>
      </c>
      <c r="S12">
        <f>IF(J_V="SI",0,Datos!AI12)</f>
        <v>76</v>
      </c>
      <c r="T12">
        <f>IF(J_V="SI",0,Datos!AJ12)</f>
        <v>207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0.94413407821229045</v>
      </c>
      <c r="I13" s="356">
        <f>IF(ISNUMBER((Tasas!C13-Datos!BE13)/Datos!BE13),(Tasas!C13-Datos!BE13)/Datos!BE13," - ")</f>
        <v>-0.21280336132864225</v>
      </c>
      <c r="J13" s="354">
        <f>IF(ISNUMBER((Tasas!D13-Datos!BF13)/Datos!BF13),(Tasas!D13-Datos!BF13)/Datos!BF13," - ")</f>
        <v>-0.17360139860139859</v>
      </c>
      <c r="K13" s="357">
        <f>IF(ISNUMBER((Tasas!E13-Datos!BG13)/Datos!BG13),(Tasas!E13-Datos!BG13)/Datos!BG13," - ")</f>
        <v>-0.15938783029173015</v>
      </c>
      <c r="M13" t="e">
        <f>IF(Monitorios="SI",Datos!CE13,0)</f>
        <v>#REF!</v>
      </c>
      <c r="N13" t="e">
        <f>IF(Monitorios="SI",Datos!CF13,0)</f>
        <v>#REF!</v>
      </c>
      <c r="O13" t="e">
        <f>IF(Monitorios="SI",Datos!CG13,0)</f>
        <v>#REF!</v>
      </c>
      <c r="P13" t="e">
        <f>IF(Monitorios="SI",Datos!CH13,0)</f>
        <v>#REF!</v>
      </c>
      <c r="Q13">
        <f>IF(J_V="SI",0,Datos!AG13)</f>
        <v>145</v>
      </c>
      <c r="R13">
        <f>IF(J_V="SI",0,Datos!AH13)</f>
        <v>138</v>
      </c>
      <c r="S13">
        <f>IF(J_V="SI",0,Datos!AI13)</f>
        <v>76</v>
      </c>
      <c r="T13">
        <f>IF(J_V="SI",0,Datos!AJ13)</f>
        <v>207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0.10042865890998164</v>
      </c>
      <c r="E16" s="347">
        <f>IF(ISNUMBER(
   IF(D_I="SI",(Datos!J16-Datos!T16)/Datos!T16,(Datos!J16+Datos!AD16-(Datos!T16+Datos!AL16))/(Datos!T16+Datos!AL16))
     ),IF(D_I="SI",(Datos!J16-Datos!T16)/Datos!T16,(Datos!J16+Datos!AD16-(Datos!T16+Datos!AL16))/(Datos!T16+Datos!AL16))," - ")</f>
        <v>0.34402654867256638</v>
      </c>
      <c r="F16" s="347">
        <f>IF(ISNUMBER(
   IF(D_I="SI",(Datos!K16-Datos!U16)/Datos!U16,(Datos!K16+Datos!AE16-(Datos!U16+Datos!AM16))/(Datos!U16+Datos!AM16))
     ),IF(D_I="SI",(Datos!K16-Datos!U16)/Datos!U16,(Datos!K16+Datos!AE16-(Datos!U16+Datos!AM16))/(Datos!U16+Datos!AM16))," - ")</f>
        <v>-5.3435114503816793E-2</v>
      </c>
      <c r="G16" s="348">
        <f>IF(ISNUMBER(
   IF(D_I="SI",(Datos!L16-Datos!V16)/Datos!V16,(Datos!L16+Datos!AF16-(Datos!V16+Datos!AN16))/(Datos!V16+Datos!AN16))
     ),IF(D_I="SI",(Datos!L16-Datos!V16)/Datos!V16,(Datos!L16+Datos!AF16-(Datos!V16+Datos!AN16))/(Datos!V16+Datos!AN16))," - ")</f>
        <v>0.32345679012345679</v>
      </c>
      <c r="H16" s="229">
        <f>IF(ISNUMBER((Datos!M16-Datos!W16)/Datos!W16),(Datos!M16-Datos!W16)/Datos!W16," - ")</f>
        <v>-0.29310344827586204</v>
      </c>
      <c r="I16" s="349">
        <f>IF(ISNUMBER((Tasas!C16-Datos!BE16)/Datos!BE16),(Tasas!C16-Datos!BE16)/Datos!BE16," - ")</f>
        <v>0.398168060533652</v>
      </c>
      <c r="J16" s="348">
        <f>IF(ISNUMBER((Tasas!D16-Datos!BF16)/Datos!BF16),(Tasas!D16-Datos!BF16)/Datos!BF16," - ")</f>
        <v>-0.25319799777530588</v>
      </c>
      <c r="K16" s="350">
        <f>IF(ISNUMBER((Tasas!E16-Datos!BG16)/Datos!BG16),(Tasas!E16-Datos!BG16)/Datos!BG16," - ")</f>
        <v>0.25425000317876084</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-0.52173913043478259</v>
      </c>
      <c r="E17" s="347">
        <f>IF(ISNUMBER(
   IF(D_I="SI",(Datos!J17-Datos!T17)/Datos!T17,(Datos!J17+Datos!AD17-(Datos!T17+Datos!AL17))/(Datos!T17+Datos!AL17))
     ),IF(D_I="SI",(Datos!J17-Datos!T17)/Datos!T17,(Datos!J17+Datos!AD17-(Datos!T17+Datos!AL17))/(Datos!T17+Datos!AL17))," - ")</f>
        <v>-1</v>
      </c>
      <c r="F17" s="347">
        <f>IF(ISNUMBER(
   IF(D_I="SI",(Datos!K17-Datos!U17)/Datos!U17,(Datos!K17+Datos!AE17-(Datos!U17+Datos!AM17))/(Datos!U17+Datos!AM17))
     ),IF(D_I="SI",(Datos!K17-Datos!U17)/Datos!U17,(Datos!K17+Datos!AE17-(Datos!U17+Datos!AM17))/(Datos!U17+Datos!AM17))," - ")</f>
        <v>-0.81818181818181823</v>
      </c>
      <c r="G17" s="348">
        <f>IF(ISNUMBER(
   IF(D_I="SI",(Datos!L17-Datos!V17)/Datos!V17,(Datos!L17+Datos!AF17-(Datos!V17+Datos!AN17))/(Datos!V17+Datos!AN17))
     ),IF(D_I="SI",(Datos!L17-Datos!V17)/Datos!V17,(Datos!L17+Datos!AF17-(Datos!V17+Datos!AN17))/(Datos!V17+Datos!AN17))," - ")</f>
        <v>-0.5</v>
      </c>
      <c r="H17" s="229" t="str">
        <f>IF(ISNUMBER((Datos!M17-Datos!W17)/Datos!W17),(Datos!M17-Datos!W17)/Datos!W17," - ")</f>
        <v xml:space="preserve"> - </v>
      </c>
      <c r="I17" s="349">
        <f>IF(ISNUMBER((Tasas!C17-Datos!BE17)/Datos!BE17),(Tasas!C17-Datos!BE17)/Datos!BE17," - ")</f>
        <v>1.7499999999999998</v>
      </c>
      <c r="J17" s="348" t="str">
        <f>IF(ISNUMBER((Tasas!D17-Datos!BF17)/Datos!BF17),(Tasas!D17-Datos!BF17)/Datos!BF17," - ")</f>
        <v xml:space="preserve"> - </v>
      </c>
      <c r="K17" s="350">
        <f>IF(ISNUMBER((Tasas!E17-Datos!BG17)/Datos!BG17),(Tasas!E17-Datos!BG17)/Datos!BG17," - ")</f>
        <v>1.0862068965517242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9.1787439613526575E-2</v>
      </c>
      <c r="E18" s="353">
        <f>IF(ISNUMBER(
   IF(D_I="SI",(Datos!J18-Datos!T18)/Datos!T18,(Datos!J18+Datos!AD18-(Datos!T18+Datos!AL18))/(Datos!T18+Datos!AL18))
     ),IF(D_I="SI",(Datos!J18-Datos!T18)/Datos!T18,(Datos!J18+Datos!AD18-(Datos!T18+Datos!AL18))/(Datos!T18+Datos!AL18))," - ")</f>
        <v>0.33516483516483514</v>
      </c>
      <c r="F18" s="353">
        <f>IF(ISNUMBER(
   IF(D_I="SI",(Datos!K18-Datos!U18)/Datos!U18,(Datos!K18+Datos!AE18-(Datos!U18+Datos!AM18))/(Datos!U18+Datos!AM18))
     ),IF(D_I="SI",(Datos!K18-Datos!U18)/Datos!U18,(Datos!K18+Datos!AE18-(Datos!U18+Datos!AM18))/(Datos!U18+Datos!AM18))," - ")</f>
        <v>-6.25E-2</v>
      </c>
      <c r="G18" s="354">
        <f>IF(ISNUMBER(
   IF(D_I="SI",(Datos!L18-Datos!V18)/Datos!V18,(Datos!L18+Datos!AF18-(Datos!V18+Datos!AN18))/(Datos!V18+Datos!AN18))
     ),IF(D_I="SI",(Datos!L18-Datos!V18)/Datos!V18,(Datos!L18+Datos!AF18-(Datos!V18+Datos!AN18))/(Datos!V18+Datos!AN18))," - ")</f>
        <v>0.3144078144078144</v>
      </c>
      <c r="H18" s="355">
        <f>IF(ISNUMBER((Datos!M18-Datos!W18)/Datos!W18),(Datos!M18-Datos!W18)/Datos!W18," - ")</f>
        <v>-0.28160919540229884</v>
      </c>
      <c r="I18" s="356">
        <f>IF(ISNUMBER((Tasas!C18-Datos!BE18)/Datos!BE18),(Tasas!C18-Datos!BE18)/Datos!BE18," - ")</f>
        <v>0.40203500203500186</v>
      </c>
      <c r="J18" s="354">
        <f>IF(ISNUMBER((Tasas!D18-Datos!BF18)/Datos!BF18),(Tasas!D18-Datos!BF18)/Datos!BF18," - ")</f>
        <v>-0.2337164750957855</v>
      </c>
      <c r="K18" s="357">
        <f>IF(ISNUMBER((Tasas!E18-Datos!BG18)/Datos!BG18),(Tasas!E18-Datos!BG18)/Datos!BG18," - ")</f>
        <v>0.2566380878150169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0.17437252311756934</v>
      </c>
      <c r="E19" s="362">
        <f>IF(ISNUMBER(
   IF(J_V="SI",(Datos!J19-Datos!T19)/Datos!T19,(Datos!J19+Datos!Z19-(Datos!T19+Datos!AH19))/(Datos!T19+Datos!AH19))
     ),IF(J_V="SI",(Datos!J19-Datos!T19)/Datos!T19,(Datos!J19+Datos!Z19-(Datos!T19+Datos!AH19))/(Datos!T19+Datos!AH19))," - ")</f>
        <v>4.2021010505252629E-2</v>
      </c>
      <c r="F19" s="362">
        <f>IF(ISNUMBER(
   IF(J_V="SI",(Datos!K19-Datos!U19)/Datos!U19,(Datos!K19+Datos!AA19-(Datos!U19+Datos!AI19))/(Datos!U19+Datos!AI19))
     ),IF(J_V="SI",(Datos!K19-Datos!U19)/Datos!U19,(Datos!K19+Datos!AA19-(Datos!U19+Datos!AI19))/(Datos!U19+Datos!AI19))," - ")</f>
        <v>0.10499139414802065</v>
      </c>
      <c r="G19" s="363">
        <f>IF(ISNUMBER(
   IF(J_V="SI",(Datos!L19-Datos!V19)/Datos!V19,(Datos!L19+Datos!AB19-(Datos!V19+Datos!AJ19))/(Datos!V19+Datos!AJ19))
     ),IF(J_V="SI",(Datos!L19-Datos!V19)/Datos!V19,(Datos!L19+Datos!AB19-(Datos!V19+Datos!AJ19))/(Datos!V19+Datos!AJ19))," - ")</f>
        <v>0.13932195001237319</v>
      </c>
      <c r="H19" s="364">
        <f>IF(ISNUMBER((Datos!M19-Datos!W19)/Datos!W19),(Datos!M19-Datos!W19)/Datos!W19," - ")</f>
        <v>0.33994334277620397</v>
      </c>
      <c r="I19" s="361">
        <f>IF(ISNUMBER((Tasas!C19-Datos!BE19)/Datos!BE19),(Tasas!C19-Datos!BE19)/Datos!BE19," - ")</f>
        <v>3.1068618313378104E-2</v>
      </c>
      <c r="J19" s="362">
        <f>IF(ISNUMBER((Tasas!D19-Datos!BF19)/Datos!BF19),(Tasas!D19-Datos!BF19)/Datos!BF19," - ")</f>
        <v>-0.14216907334919054</v>
      </c>
      <c r="K19" s="363">
        <f>IF(ISNUMBER((Tasas!E19-Datos!BG19)/Datos!BG19),(Tasas!E19-Datos!BG19)/Datos!BG19," - ")</f>
        <v>2.1393208464213168E-2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0.30808704366779005</v>
      </c>
      <c r="E21" s="277">
        <f t="shared" si="1"/>
        <v>0.77342439466532842</v>
      </c>
      <c r="F21" s="277">
        <f t="shared" si="1"/>
        <v>0.49698456439478406</v>
      </c>
      <c r="G21" s="278">
        <f t="shared" si="1"/>
        <v>0.39092423014960209</v>
      </c>
      <c r="H21" s="284">
        <f t="shared" si="1"/>
        <v>0.8613129307642966</v>
      </c>
      <c r="I21" s="276">
        <f t="shared" si="1"/>
        <v>0.80193621186847575</v>
      </c>
      <c r="J21" s="277">
        <f t="shared" si="1"/>
        <v>4.1998461588932556E-2</v>
      </c>
      <c r="K21" s="278">
        <f t="shared" si="1"/>
        <v>0.50872099470945675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An5Zh0i+sba73cmaoF90y5CDdSpraQTAVdSOq4dNghghgfZT009dcaNKsm7d/CvQqvUDzJ0bmfajvOOWom9xMw==" saltValue="kSf+Sk1eX4fCOpcKakhb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